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activeTab="1"/>
  </bookViews>
  <sheets>
    <sheet name="Summary" sheetId="1" r:id="rId1"/>
    <sheet name="Cashflow" sheetId="2" r:id="rId2"/>
    <sheet name="Assumpt" sheetId="3" r:id="rId3"/>
    <sheet name="Car leases" sheetId="4" r:id="rId4"/>
    <sheet name="Capacity" sheetId="5" r:id="rId5"/>
    <sheet name="Use of Funds" sheetId="6" r:id="rId6"/>
  </sheets>
  <definedNames>
    <definedName name="__123Graph_AChart4A" localSheetId="1" hidden="1">'Cashflow'!#REF!</definedName>
    <definedName name="__123Graph_BChart4A" localSheetId="1" hidden="1">'Cashflow'!$E$19:$T$19</definedName>
    <definedName name="__123Graph_CChart4A" localSheetId="1" hidden="1">'Cashflow'!#REF!</definedName>
    <definedName name="__123Graph_XChart4A" localSheetId="1" hidden="1">'Cashflow'!$E$3:$T$3</definedName>
    <definedName name="CHART">'Cashflow'!$W$1:$AI$24</definedName>
    <definedName name="DATABASE">'Cashflow'!$E$9:$T$33</definedName>
    <definedName name="FARE_CHART">'Cashflow'!$W$23:$AG$54</definedName>
    <definedName name="RTFARE_GRAPH">'Cashflow'!$W$66:$AG$93</definedName>
    <definedName name="TABLE">'Cashflow'!$A$1:$T$21</definedName>
  </definedNames>
  <calcPr fullCalcOnLoad="1"/>
</workbook>
</file>

<file path=xl/sharedStrings.xml><?xml version="1.0" encoding="utf-8"?>
<sst xmlns="http://schemas.openxmlformats.org/spreadsheetml/2006/main" count="165" uniqueCount="145">
  <si>
    <t>Total Costs and Expenses</t>
  </si>
  <si>
    <t xml:space="preserve"> </t>
  </si>
  <si>
    <t>Assumptions</t>
  </si>
  <si>
    <t>Values</t>
  </si>
  <si>
    <t>Route Distance in miles-ONE WAY</t>
  </si>
  <si>
    <t>How calculated</t>
  </si>
  <si>
    <t>Totals</t>
  </si>
  <si>
    <t>Category</t>
  </si>
  <si>
    <t>Costs and expenses:</t>
  </si>
  <si>
    <t>less upgrades &amp;  replacement reserves</t>
  </si>
  <si>
    <t>less  Upgrade &amp; Replacement  @ 3%</t>
  </si>
  <si>
    <t>Cargo Packages</t>
  </si>
  <si>
    <t>Construct</t>
  </si>
  <si>
    <t xml:space="preserve">Visitors </t>
  </si>
  <si>
    <t>Total Weekday traffic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</si>
  <si>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</si>
  <si>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</si>
  <si>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</si>
  <si>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</si>
  <si>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</si>
  <si>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</si>
  <si>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</si>
  <si>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</si>
  <si>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</si>
  <si>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</si>
  <si>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</si>
  <si>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</si>
  <si>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</si>
  <si>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</si>
  <si>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</si>
  <si>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</si>
  <si>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</si>
  <si>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</si>
  <si>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</si>
  <si>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</si>
  <si>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</si>
  <si>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</si>
  <si>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</si>
  <si>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</si>
  <si>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</si>
  <si>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franchise Royalty</t>
  </si>
  <si>
    <t>Number of cars</t>
  </si>
  <si>
    <t>Operating cost as a % of Operations</t>
  </si>
  <si>
    <r>
      <t>Employees</t>
    </r>
    <r>
      <rPr>
        <sz val="8"/>
        <color indexed="9"/>
        <rFont val="Helv"/>
        <family val="0"/>
      </rPr>
      <t>: maint-, admin- security-, Station-</t>
    </r>
  </si>
  <si>
    <t xml:space="preserve">Interest rate  </t>
  </si>
  <si>
    <t>Term of Loan</t>
  </si>
  <si>
    <t>Number of years interest only</t>
  </si>
  <si>
    <t>Cumulative</t>
  </si>
  <si>
    <t xml:space="preserve">PRICING </t>
  </si>
  <si>
    <t>p/day unlimited use</t>
  </si>
  <si>
    <t>Sunscription-Residents</t>
  </si>
  <si>
    <t>p/day one time</t>
  </si>
  <si>
    <t>weight</t>
  </si>
  <si>
    <t>Total Revenues</t>
  </si>
  <si>
    <t>Number of riders per day (RT) x 4% p/y growth</t>
  </si>
  <si>
    <t>Capital Requirements</t>
  </si>
  <si>
    <t>Construction Costs (Millions)</t>
  </si>
  <si>
    <t>Interest Reserves Optional ($MILLIONS)</t>
  </si>
  <si>
    <t>Other Revenues - Sunday traffic at 5%</t>
  </si>
  <si>
    <t>Total Revenues (000)</t>
  </si>
  <si>
    <r>
      <t xml:space="preserve">Revenues: </t>
    </r>
    <r>
      <rPr>
        <sz val="10"/>
        <rFont val="Helv"/>
        <family val="0"/>
      </rPr>
      <t>($ for ave dailey pass)</t>
    </r>
  </si>
  <si>
    <t>Use of Funds</t>
  </si>
  <si>
    <t xml:space="preserve">5 mile system </t>
  </si>
  <si>
    <t>payoff Venture Capital</t>
  </si>
  <si>
    <t>build test track</t>
  </si>
  <si>
    <t>Stations</t>
  </si>
  <si>
    <t>working Capital</t>
  </si>
  <si>
    <t>underwriting fees</t>
  </si>
  <si>
    <t>Total Building Costs</t>
  </si>
  <si>
    <t>Interest Reserve-2yrs at 5%</t>
  </si>
  <si>
    <t>Event visitors</t>
  </si>
  <si>
    <t xml:space="preserve">Construction Cost </t>
  </si>
  <si>
    <t>Equity from car Leases</t>
  </si>
  <si>
    <t>Car Leases Sold</t>
  </si>
  <si>
    <t>at 6%</t>
  </si>
  <si>
    <t>Bonds at 6%</t>
  </si>
  <si>
    <t>Payment</t>
  </si>
  <si>
    <t>Downpayment per car</t>
  </si>
  <si>
    <t>Average Per Car prices</t>
  </si>
  <si>
    <t>Earnings Revuenue per car</t>
  </si>
  <si>
    <t>p/mo</t>
  </si>
  <si>
    <t>Bond Financing per car</t>
  </si>
  <si>
    <t xml:space="preserve">10 yr depreciation </t>
  </si>
  <si>
    <t>2) Employee ridership and morale</t>
  </si>
  <si>
    <t>3) Economic development</t>
  </si>
  <si>
    <t xml:space="preserve">Daily Visitors </t>
  </si>
  <si>
    <t xml:space="preserve"> 3000  x  $2 x 300days</t>
  </si>
  <si>
    <t>Total Revenues from   (6) Weekdays Traffic</t>
  </si>
  <si>
    <t>Cargo, trash and Advertising</t>
  </si>
  <si>
    <t>Cumulative Return Over 25 Years</t>
  </si>
  <si>
    <t>Student subscriptions</t>
  </si>
  <si>
    <t>Daily Visitors</t>
  </si>
  <si>
    <t xml:space="preserve">Event Visitors </t>
  </si>
  <si>
    <t>Cargo &amp; Advertizing</t>
  </si>
  <si>
    <t>Weekend traffic at 5%</t>
  </si>
  <si>
    <t xml:space="preserve"> Ave ROI p/y (Before Taxes)</t>
  </si>
  <si>
    <t>Construction Costs $66,000,000</t>
  </si>
  <si>
    <r>
      <t xml:space="preserve">Revenues: </t>
    </r>
    <r>
      <rPr>
        <sz val="10"/>
        <rFont val="Helv"/>
        <family val="0"/>
      </rPr>
      <t>($.75 for student dailey pass)</t>
    </r>
  </si>
  <si>
    <t>25,000 x $.5 x 300 days</t>
  </si>
  <si>
    <t xml:space="preserve"> 2,000 x  $2 x 75 days </t>
  </si>
  <si>
    <t>Cumulative cash Flow</t>
  </si>
  <si>
    <t>Cash Flow (Before Taxes)</t>
  </si>
  <si>
    <r>
      <t xml:space="preserve">Student/Staff Subscriptions  </t>
    </r>
    <r>
      <rPr>
        <sz val="8"/>
        <rFont val="Helv"/>
        <family val="0"/>
      </rPr>
      <t xml:space="preserve"> </t>
    </r>
  </si>
  <si>
    <t xml:space="preserve"> Attainable Cash Flow Proforma  for a 5.5 Mile UNM Campus Circulator</t>
  </si>
  <si>
    <t>Students from 8am to 8pm</t>
  </si>
  <si>
    <t>5,000 p/h peak</t>
  </si>
  <si>
    <t>6 passenger cars at 50% occupancy</t>
  </si>
  <si>
    <t xml:space="preserve">5280' x 5,5 = 29,040 feet/ 22' cars  </t>
  </si>
  <si>
    <t>1320 navigation slots</t>
  </si>
  <si>
    <t xml:space="preserve">1320 slots with 3 slots per car is </t>
  </si>
  <si>
    <t>440 cars x 6 passengers equals</t>
  </si>
  <si>
    <t xml:space="preserve">30 riders into 2080p/h  demand = </t>
  </si>
  <si>
    <t>70  cars p/hr</t>
  </si>
  <si>
    <t>equals30 pass p/hr</t>
  </si>
  <si>
    <t>440 slots with 2 empty at 44 ' equals</t>
  </si>
  <si>
    <t>44' or 1/2 sec headway</t>
  </si>
  <si>
    <t>2640 pass/trips x 4 per hr equals</t>
  </si>
  <si>
    <t>10,560 riders/p/hr</t>
  </si>
  <si>
    <t>Maximun Capacity- 6 passenger</t>
  </si>
  <si>
    <t>Maximun Capacity-15 passenger</t>
  </si>
  <si>
    <t>21,120 riders p/hr</t>
  </si>
  <si>
    <t>assum 12 riders max occupncy</t>
  </si>
  <si>
    <t>440 cars</t>
  </si>
  <si>
    <t>2640 riders</t>
  </si>
  <si>
    <t>70 cars x 3 riders equals</t>
  </si>
  <si>
    <t>2,100 ave riders p/hr</t>
  </si>
  <si>
    <t>System Capacity Calculations</t>
  </si>
  <si>
    <t>2,080 per hr 12 hr ave</t>
  </si>
  <si>
    <t>20% capacity</t>
  </si>
  <si>
    <t>50% capacity</t>
  </si>
  <si>
    <t>AverageVisitor Fare  per day</t>
  </si>
  <si>
    <t>Local Student/Staff Subscription rate</t>
  </si>
  <si>
    <t xml:space="preserve">Subscription-Students/staff that drive </t>
  </si>
  <si>
    <t xml:space="preserve">tourists </t>
  </si>
  <si>
    <t>Riders per hour</t>
  </si>
  <si>
    <t>Maximum Capacity at 6 paasenger cras</t>
  </si>
  <si>
    <t>(70x $70,000)</t>
  </si>
  <si>
    <t>Advertising Leases</t>
  </si>
  <si>
    <t xml:space="preserve">Returns </t>
  </si>
  <si>
    <t>1) Adversizing on car and seat laptops</t>
  </si>
  <si>
    <t>Concept to raise $5 million equity by leasing vehicles to business</t>
  </si>
  <si>
    <t>Franchize  royalty @ 3.5%</t>
  </si>
  <si>
    <t>Franchize and Royalty @ 3.5%</t>
  </si>
  <si>
    <t>Admin, Operating &amp; Maint Costs @ 30%</t>
  </si>
  <si>
    <t>Operating Costs @ 30%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</si>
</sst>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"/>
  </numFmts>
  <fonts count="2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9"/>
      <name val="Helv"/>
      <family val="0"/>
    </font>
    <font>
      <b/>
      <sz val="14"/>
      <name val="Helv"/>
      <family val="0"/>
    </font>
    <font>
      <sz val="10"/>
      <color indexed="9"/>
      <name val="Helv"/>
      <family val="0"/>
    </font>
    <font>
      <sz val="9"/>
      <color indexed="9"/>
      <name val="Helv"/>
      <family val="0"/>
    </font>
    <font>
      <b/>
      <sz val="9"/>
      <color indexed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8"/>
      <color indexed="9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sz val="14"/>
      <name val="Helv"/>
      <family val="0"/>
    </font>
    <font>
      <u val="single"/>
      <sz val="10"/>
      <name val="Arial"/>
      <family val="2"/>
    </font>
    <font>
      <b/>
      <u val="single"/>
      <sz val="8"/>
      <name val="Helv"/>
      <family val="0"/>
    </font>
    <font>
      <b/>
      <sz val="18"/>
      <name val="Times New Roman"/>
      <family val="1"/>
    </font>
    <font>
      <sz val="8"/>
      <name val="Arial"/>
      <family val="2"/>
    </font>
    <font>
      <sz val="9"/>
      <name val="Helv"/>
      <family val="0"/>
    </font>
    <font>
      <sz val="1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name val="Helv"/>
      <family val="0"/>
    </font>
    <font>
      <b/>
      <sz val="9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1">
    <xf numFmtId="164" fontId="0" fillId="0" borderId="0" xfId="0" applyAlignment="1">
      <alignment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8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9" fillId="2" borderId="1" xfId="0" applyNumberFormat="1" applyFont="1" applyFill="1" applyBorder="1" applyAlignment="1" applyProtection="1">
      <alignment/>
      <protection/>
    </xf>
    <xf numFmtId="38" fontId="9" fillId="2" borderId="1" xfId="0" applyNumberFormat="1" applyFont="1" applyFill="1" applyBorder="1" applyAlignment="1" applyProtection="1">
      <alignment/>
      <protection/>
    </xf>
    <xf numFmtId="9" fontId="9" fillId="2" borderId="1" xfId="0" applyNumberFormat="1" applyFont="1" applyFill="1" applyBorder="1" applyAlignment="1" applyProtection="1">
      <alignment/>
      <protection/>
    </xf>
    <xf numFmtId="8" fontId="9" fillId="2" borderId="1" xfId="0" applyNumberFormat="1" applyFont="1" applyFill="1" applyBorder="1" applyAlignment="1" applyProtection="1">
      <alignment/>
      <protection/>
    </xf>
    <xf numFmtId="166" fontId="9" fillId="2" borderId="1" xfId="0" applyNumberFormat="1" applyFont="1" applyFill="1" applyBorder="1" applyAlignment="1" applyProtection="1">
      <alignment/>
      <protection/>
    </xf>
    <xf numFmtId="167" fontId="9" fillId="2" borderId="1" xfId="0" applyNumberFormat="1" applyFont="1" applyFill="1" applyBorder="1" applyAlignment="1" applyProtection="1">
      <alignment/>
      <protection/>
    </xf>
    <xf numFmtId="9" fontId="5" fillId="2" borderId="1" xfId="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5" fillId="2" borderId="1" xfId="0" applyNumberFormat="1" applyFont="1" applyFill="1" applyBorder="1" applyAlignment="1" applyProtection="1">
      <alignment horizontal="right"/>
      <protection/>
    </xf>
    <xf numFmtId="164" fontId="14" fillId="0" borderId="0" xfId="0" applyFont="1" applyAlignment="1">
      <alignment/>
    </xf>
    <xf numFmtId="8" fontId="12" fillId="0" borderId="0" xfId="0" applyNumberFormat="1" applyFont="1" applyAlignment="1" applyProtection="1">
      <alignment/>
      <protection/>
    </xf>
    <xf numFmtId="8" fontId="15" fillId="0" borderId="0" xfId="0" applyNumberFormat="1" applyFont="1" applyAlignment="1" applyProtection="1">
      <alignment/>
      <protection/>
    </xf>
    <xf numFmtId="164" fontId="0" fillId="3" borderId="0" xfId="0" applyFill="1" applyAlignment="1">
      <alignment/>
    </xf>
    <xf numFmtId="164" fontId="0" fillId="0" borderId="0" xfId="0" applyAlignment="1">
      <alignment horizontal="right"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 horizontal="left"/>
    </xf>
    <xf numFmtId="164" fontId="12" fillId="0" borderId="0" xfId="0" applyNumberFormat="1" applyFont="1" applyAlignment="1" applyProtection="1">
      <alignment horizontal="center"/>
      <protection/>
    </xf>
    <xf numFmtId="9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1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2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10" fillId="0" borderId="0" xfId="0" applyFont="1" applyBorder="1" applyAlignment="1">
      <alignment/>
    </xf>
    <xf numFmtId="164" fontId="17" fillId="4" borderId="0" xfId="0" applyFont="1" applyFill="1" applyBorder="1" applyAlignment="1">
      <alignment/>
    </xf>
    <xf numFmtId="164" fontId="17" fillId="4" borderId="0" xfId="0" applyFont="1" applyFill="1" applyAlignment="1">
      <alignment/>
    </xf>
    <xf numFmtId="164" fontId="12" fillId="3" borderId="0" xfId="0" applyFont="1" applyFill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3" fontId="12" fillId="3" borderId="0" xfId="0" applyNumberFormat="1" applyFont="1" applyFill="1" applyAlignment="1" applyProtection="1">
      <alignment/>
      <protection/>
    </xf>
    <xf numFmtId="3" fontId="12" fillId="3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 horizontal="right"/>
      <protection/>
    </xf>
    <xf numFmtId="3" fontId="15" fillId="3" borderId="0" xfId="0" applyNumberFormat="1" applyFont="1" applyFill="1" applyAlignment="1" applyProtection="1">
      <alignment horizontal="right"/>
      <protection/>
    </xf>
    <xf numFmtId="3" fontId="19" fillId="0" borderId="2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/>
      <protection/>
    </xf>
    <xf numFmtId="164" fontId="0" fillId="4" borderId="4" xfId="0" applyNumberFormat="1" applyFill="1" applyBorder="1" applyAlignment="1" applyProtection="1">
      <alignment horizontal="center"/>
      <protection/>
    </xf>
    <xf numFmtId="164" fontId="10" fillId="4" borderId="4" xfId="0" applyNumberFormat="1" applyFont="1" applyFill="1" applyBorder="1" applyAlignment="1" applyProtection="1">
      <alignment horizontal="right"/>
      <protection/>
    </xf>
    <xf numFmtId="164" fontId="16" fillId="3" borderId="0" xfId="0" applyFont="1" applyFill="1" applyAlignment="1">
      <alignment/>
    </xf>
    <xf numFmtId="164" fontId="12" fillId="3" borderId="0" xfId="0" applyFont="1" applyFill="1" applyAlignment="1">
      <alignment horizontal="left"/>
    </xf>
    <xf numFmtId="166" fontId="0" fillId="3" borderId="0" xfId="0" applyNumberFormat="1" applyFill="1" applyAlignment="1" applyProtection="1">
      <alignment horizontal="left"/>
      <protection/>
    </xf>
    <xf numFmtId="164" fontId="16" fillId="3" borderId="0" xfId="0" applyFont="1" applyFill="1" applyAlignment="1">
      <alignment horizontal="left"/>
    </xf>
    <xf numFmtId="166" fontId="0" fillId="3" borderId="0" xfId="0" applyNumberFormat="1" applyFill="1" applyAlignment="1" applyProtection="1">
      <alignment/>
      <protection/>
    </xf>
    <xf numFmtId="166" fontId="0" fillId="3" borderId="0" xfId="0" applyNumberFormat="1" applyFill="1" applyAlignment="1" applyProtection="1">
      <alignment horizontal="right"/>
      <protection/>
    </xf>
    <xf numFmtId="8" fontId="0" fillId="3" borderId="0" xfId="0" applyNumberFormat="1" applyFill="1" applyBorder="1" applyAlignment="1" applyProtection="1">
      <alignment/>
      <protection/>
    </xf>
    <xf numFmtId="166" fontId="0" fillId="3" borderId="0" xfId="0" applyNumberFormat="1" applyFill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164" fontId="12" fillId="0" borderId="0" xfId="0" applyFont="1" applyAlignment="1">
      <alignment horizontal="right"/>
    </xf>
    <xf numFmtId="169" fontId="17" fillId="4" borderId="0" xfId="0" applyNumberFormat="1" applyFont="1" applyFill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75" fontId="0" fillId="0" borderId="0" xfId="0" applyNumberFormat="1" applyAlignment="1">
      <alignment/>
    </xf>
    <xf numFmtId="171" fontId="5" fillId="2" borderId="0" xfId="0" applyNumberFormat="1" applyFont="1" applyFill="1" applyAlignment="1">
      <alignment/>
    </xf>
    <xf numFmtId="1" fontId="9" fillId="2" borderId="1" xfId="0" applyNumberFormat="1" applyFont="1" applyFill="1" applyBorder="1" applyAlignment="1" applyProtection="1">
      <alignment/>
      <protection/>
    </xf>
    <xf numFmtId="164" fontId="0" fillId="5" borderId="0" xfId="0" applyFill="1" applyAlignment="1">
      <alignment/>
    </xf>
    <xf numFmtId="169" fontId="0" fillId="5" borderId="0" xfId="0" applyNumberFormat="1" applyFill="1" applyAlignment="1">
      <alignment/>
    </xf>
    <xf numFmtId="164" fontId="20" fillId="5" borderId="0" xfId="0" applyFont="1" applyFill="1" applyAlignment="1">
      <alignment/>
    </xf>
    <xf numFmtId="3" fontId="12" fillId="0" borderId="0" xfId="15" applyNumberFormat="1" applyFont="1" applyAlignment="1">
      <alignment/>
    </xf>
    <xf numFmtId="3" fontId="12" fillId="3" borderId="0" xfId="15" applyNumberFormat="1" applyFont="1" applyFill="1" applyAlignment="1">
      <alignment/>
    </xf>
    <xf numFmtId="164" fontId="12" fillId="4" borderId="4" xfId="0" applyNumberFormat="1" applyFont="1" applyFill="1" applyBorder="1" applyAlignment="1" applyProtection="1">
      <alignment horizontal="center"/>
      <protection/>
    </xf>
    <xf numFmtId="3" fontId="12" fillId="3" borderId="0" xfId="0" applyNumberFormat="1" applyFont="1" applyFill="1" applyAlignment="1">
      <alignment/>
    </xf>
    <xf numFmtId="3" fontId="21" fillId="3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4" fillId="3" borderId="0" xfId="0" applyNumberFormat="1" applyFont="1" applyFill="1" applyAlignment="1">
      <alignment/>
    </xf>
    <xf numFmtId="164" fontId="12" fillId="3" borderId="0" xfId="0" applyFont="1" applyFill="1" applyBorder="1" applyAlignment="1">
      <alignment/>
    </xf>
    <xf numFmtId="10" fontId="12" fillId="0" borderId="0" xfId="0" applyNumberFormat="1" applyFont="1" applyAlignment="1" applyProtection="1">
      <alignment horizontal="left"/>
      <protection/>
    </xf>
    <xf numFmtId="167" fontId="12" fillId="0" borderId="0" xfId="0" applyNumberFormat="1" applyFont="1" applyAlignment="1" applyProtection="1">
      <alignment horizontal="left"/>
      <protection/>
    </xf>
    <xf numFmtId="10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right"/>
      <protection/>
    </xf>
    <xf numFmtId="6" fontId="12" fillId="0" borderId="0" xfId="0" applyNumberFormat="1" applyFont="1" applyAlignment="1" applyProtection="1">
      <alignment/>
      <protection/>
    </xf>
    <xf numFmtId="8" fontId="12" fillId="3" borderId="0" xfId="0" applyNumberFormat="1" applyFont="1" applyFill="1" applyAlignment="1" applyProtection="1">
      <alignment/>
      <protection/>
    </xf>
    <xf numFmtId="8" fontId="12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 horizontal="left"/>
      <protection/>
    </xf>
    <xf numFmtId="171" fontId="12" fillId="3" borderId="0" xfId="0" applyNumberFormat="1" applyFont="1" applyFill="1" applyAlignment="1">
      <alignment/>
    </xf>
    <xf numFmtId="164" fontId="22" fillId="0" borderId="0" xfId="0" applyFont="1" applyAlignment="1">
      <alignment/>
    </xf>
    <xf numFmtId="3" fontId="14" fillId="3" borderId="0" xfId="0" applyNumberFormat="1" applyFont="1" applyFill="1" applyAlignment="1" applyProtection="1">
      <alignment/>
      <protection/>
    </xf>
    <xf numFmtId="3" fontId="14" fillId="3" borderId="5" xfId="0" applyNumberFormat="1" applyFont="1" applyFill="1" applyBorder="1" applyAlignment="1" applyProtection="1">
      <alignment/>
      <protection/>
    </xf>
    <xf numFmtId="3" fontId="15" fillId="3" borderId="0" xfId="0" applyNumberFormat="1" applyFont="1" applyFill="1" applyAlignment="1">
      <alignment/>
    </xf>
    <xf numFmtId="10" fontId="10" fillId="0" borderId="0" xfId="0" applyNumberFormat="1" applyFont="1" applyAlignment="1">
      <alignment/>
    </xf>
    <xf numFmtId="3" fontId="15" fillId="3" borderId="0" xfId="0" applyNumberFormat="1" applyFont="1" applyFill="1" applyBorder="1" applyAlignment="1" applyProtection="1">
      <alignment/>
      <protection/>
    </xf>
    <xf numFmtId="167" fontId="16" fillId="3" borderId="0" xfId="0" applyNumberFormat="1" applyFont="1" applyFill="1" applyAlignment="1" applyProtection="1">
      <alignment/>
      <protection/>
    </xf>
    <xf numFmtId="164" fontId="23" fillId="0" borderId="0" xfId="0" applyFont="1" applyAlignment="1">
      <alignment/>
    </xf>
    <xf numFmtId="9" fontId="15" fillId="0" borderId="0" xfId="0" applyNumberFormat="1" applyFont="1" applyAlignment="1" applyProtection="1">
      <alignment horizontal="right"/>
      <protection/>
    </xf>
    <xf numFmtId="167" fontId="12" fillId="0" borderId="0" xfId="0" applyNumberFormat="1" applyFont="1" applyAlignment="1">
      <alignment horizontal="right"/>
    </xf>
    <xf numFmtId="169" fontId="0" fillId="0" borderId="6" xfId="0" applyNumberFormat="1" applyBorder="1" applyAlignment="1">
      <alignment/>
    </xf>
    <xf numFmtId="169" fontId="12" fillId="0" borderId="0" xfId="0" applyNumberFormat="1" applyFont="1" applyAlignment="1">
      <alignment/>
    </xf>
    <xf numFmtId="169" fontId="12" fillId="0" borderId="6" xfId="0" applyNumberFormat="1" applyFont="1" applyFill="1" applyBorder="1" applyAlignment="1">
      <alignment/>
    </xf>
    <xf numFmtId="169" fontId="10" fillId="0" borderId="0" xfId="0" applyNumberFormat="1" applyFont="1" applyAlignment="1" applyProtection="1">
      <alignment/>
      <protection/>
    </xf>
    <xf numFmtId="169" fontId="5" fillId="6" borderId="0" xfId="0" applyNumberFormat="1" applyFont="1" applyFill="1" applyAlignment="1" applyProtection="1">
      <alignment/>
      <protection/>
    </xf>
    <xf numFmtId="169" fontId="0" fillId="0" borderId="0" xfId="0" applyNumberFormat="1" applyAlignment="1">
      <alignment horizontal="left"/>
    </xf>
    <xf numFmtId="169" fontId="12" fillId="0" borderId="6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Alignment="1">
      <alignment/>
    </xf>
    <xf numFmtId="181" fontId="12" fillId="3" borderId="0" xfId="0" applyNumberFormat="1" applyFont="1" applyFill="1" applyAlignment="1">
      <alignment/>
    </xf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26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9" fontId="15" fillId="0" borderId="0" xfId="0" applyNumberFormat="1" applyFont="1" applyAlignment="1">
      <alignment horizontal="right"/>
    </xf>
    <xf numFmtId="164" fontId="0" fillId="4" borderId="0" xfId="0" applyFill="1" applyAlignment="1">
      <alignment/>
    </xf>
    <xf numFmtId="169" fontId="0" fillId="4" borderId="0" xfId="0" applyNumberFormat="1" applyFill="1" applyAlignment="1">
      <alignment/>
    </xf>
    <xf numFmtId="164" fontId="27" fillId="4" borderId="7" xfId="0" applyNumberFormat="1" applyFont="1" applyFill="1" applyBorder="1" applyAlignment="1" applyProtection="1">
      <alignment horizontal="left"/>
      <protection/>
    </xf>
    <xf numFmtId="171" fontId="0" fillId="4" borderId="0" xfId="0" applyNumberFormat="1" applyFill="1" applyAlignment="1">
      <alignment/>
    </xf>
    <xf numFmtId="164" fontId="5" fillId="7" borderId="1" xfId="0" applyNumberFormat="1" applyFont="1" applyFill="1" applyBorder="1" applyAlignment="1" applyProtection="1">
      <alignment horizontal="center"/>
      <protection/>
    </xf>
    <xf numFmtId="164" fontId="7" fillId="7" borderId="1" xfId="0" applyNumberFormat="1" applyFont="1" applyFill="1" applyBorder="1" applyAlignment="1" applyProtection="1">
      <alignment horizontal="left"/>
      <protection/>
    </xf>
    <xf numFmtId="164" fontId="8" fillId="7" borderId="1" xfId="0" applyNumberFormat="1" applyFont="1" applyFill="1" applyBorder="1" applyAlignment="1" applyProtection="1">
      <alignment horizontal="left"/>
      <protection/>
    </xf>
    <xf numFmtId="164" fontId="8" fillId="7" borderId="1" xfId="0" applyNumberFormat="1" applyFont="1" applyFill="1" applyBorder="1" applyAlignment="1" applyProtection="1">
      <alignment/>
      <protection/>
    </xf>
    <xf numFmtId="164" fontId="13" fillId="7" borderId="1" xfId="0" applyNumberFormat="1" applyFont="1" applyFill="1" applyBorder="1" applyAlignment="1" applyProtection="1">
      <alignment horizontal="left"/>
      <protection/>
    </xf>
    <xf numFmtId="164" fontId="8" fillId="7" borderId="7" xfId="0" applyNumberFormat="1" applyFont="1" applyFill="1" applyBorder="1" applyAlignment="1" applyProtection="1">
      <alignment horizontal="left"/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7" fillId="7" borderId="0" xfId="0" applyFont="1" applyFill="1" applyAlignment="1">
      <alignment/>
    </xf>
    <xf numFmtId="3" fontId="9" fillId="2" borderId="1" xfId="0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4" fontId="12" fillId="3" borderId="0" xfId="0" applyNumberFormat="1" applyFont="1" applyFill="1" applyAlignment="1" applyProtection="1">
      <alignment/>
      <protection/>
    </xf>
    <xf numFmtId="164" fontId="0" fillId="4" borderId="8" xfId="0" applyFill="1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7" fillId="0" borderId="0" xfId="0" applyFont="1" applyAlignment="1">
      <alignment/>
    </xf>
    <xf numFmtId="164" fontId="12" fillId="0" borderId="0" xfId="0" applyFont="1" applyAlignment="1">
      <alignment/>
    </xf>
    <xf numFmtId="164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Flow Statement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75"/>
          <c:w val="0.853"/>
          <c:h val="0.63925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NET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Cashflow!$E$19:$T$19</c:f>
              <c:numCache>
                <c:ptCount val="16"/>
                <c:pt idx="1">
                  <c:v>460.4500000000007</c:v>
                </c:pt>
                <c:pt idx="2">
                  <c:v>674.6499999999996</c:v>
                </c:pt>
                <c:pt idx="3">
                  <c:v>950.4324999999999</c:v>
                </c:pt>
                <c:pt idx="4">
                  <c:v>1240.0041250000004</c:v>
                </c:pt>
                <c:pt idx="5">
                  <c:v>1544.0543312500004</c:v>
                </c:pt>
                <c:pt idx="6">
                  <c:v>1863.307047812501</c:v>
                </c:pt>
                <c:pt idx="7">
                  <c:v>2198.5224002031264</c:v>
                </c:pt>
                <c:pt idx="8">
                  <c:v>2550.498520213283</c:v>
                </c:pt>
                <c:pt idx="9">
                  <c:v>2920.073446223949</c:v>
                </c:pt>
                <c:pt idx="10">
                  <c:v>3308.127118535145</c:v>
                </c:pt>
                <c:pt idx="11">
                  <c:v>3715.5834744619024</c:v>
                </c:pt>
                <c:pt idx="12">
                  <c:v>4143.412648185</c:v>
                </c:pt>
                <c:pt idx="13">
                  <c:v>4592.6332805942475</c:v>
                </c:pt>
                <c:pt idx="14">
                  <c:v>5064.314944623962</c:v>
                </c:pt>
                <c:pt idx="15">
                  <c:v>5559.580691855161</c:v>
                </c:pt>
              </c:numCache>
            </c:numRef>
          </c:val>
          <c:smooth val="0"/>
        </c:ser>
        <c:ser>
          <c:idx val="2"/>
          <c:order val="2"/>
          <c:tx>
            <c:v>NET CASH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2485"/>
        <c:axId val="34942366"/>
      </c:lineChart>
      <c:catAx>
        <c:axId val="388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4942366"/>
        <c:crosses val="autoZero"/>
        <c:auto val="0"/>
        <c:lblOffset val="100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5"/>
          <c:y val="0.82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10</xdr:col>
      <xdr:colOff>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943475" y="342900"/>
        <a:ext cx="3190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6">
      <selection activeCell="B11" sqref="B11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13.140625" style="0" customWidth="1"/>
    <col min="4" max="4" width="14.421875" style="46" customWidth="1"/>
    <col min="5" max="5" width="15.00390625" style="46" customWidth="1"/>
  </cols>
  <sheetData>
    <row r="1" spans="2:7" ht="25.5" customHeight="1">
      <c r="B1" s="81"/>
      <c r="C1" s="79"/>
      <c r="D1" s="80"/>
      <c r="E1" s="80"/>
      <c r="F1" s="79"/>
      <c r="G1" s="79"/>
    </row>
    <row r="2" spans="2:7" ht="12.75">
      <c r="B2" s="79"/>
      <c r="C2" s="79"/>
      <c r="D2" s="80"/>
      <c r="E2" s="80"/>
      <c r="F2" s="79"/>
      <c r="G2" s="79"/>
    </row>
    <row r="3" spans="2:7" ht="19.5">
      <c r="B3" s="40"/>
      <c r="C3" s="41"/>
      <c r="D3" s="73"/>
      <c r="E3" s="73"/>
      <c r="F3" s="73"/>
      <c r="G3" s="73"/>
    </row>
    <row r="4" ht="12.75">
      <c r="B4" s="7"/>
    </row>
    <row r="9" ht="12.75">
      <c r="D9" s="117"/>
    </row>
    <row r="10" spans="1:4" ht="12.75">
      <c r="A10" s="22"/>
      <c r="D10" s="75"/>
    </row>
    <row r="11" ht="12.75">
      <c r="E11" s="74"/>
    </row>
    <row r="12" spans="4:5" ht="12.75">
      <c r="D12" s="116"/>
      <c r="E12" s="75"/>
    </row>
    <row r="16" spans="2:5" ht="12.75">
      <c r="B16" s="23"/>
      <c r="C16" s="24"/>
      <c r="E16" s="140"/>
    </row>
    <row r="17" spans="2:5" ht="12.75">
      <c r="B17" s="23"/>
      <c r="C17" s="24"/>
      <c r="D17" s="116"/>
      <c r="E17" s="141"/>
    </row>
    <row r="18" spans="2:5" ht="12.75">
      <c r="B18" s="7"/>
      <c r="D18" s="117"/>
      <c r="E18" s="142"/>
    </row>
    <row r="19" spans="2:5" ht="12.75">
      <c r="B19" s="3"/>
      <c r="E19" s="103"/>
    </row>
    <row r="20" spans="2:5" ht="12.75">
      <c r="B20" s="3"/>
      <c r="D20" s="117"/>
      <c r="E20" s="140"/>
    </row>
    <row r="21" spans="2:5" ht="12.75">
      <c r="B21" s="3"/>
      <c r="E21" s="140"/>
    </row>
    <row r="22" spans="2:5" ht="12.75">
      <c r="B22" s="35"/>
      <c r="C22" s="38"/>
      <c r="D22" s="118"/>
      <c r="E22" s="141"/>
    </row>
    <row r="23" spans="2:5" ht="12.75">
      <c r="B23" s="39"/>
      <c r="C23" s="34"/>
      <c r="E23" s="142"/>
    </row>
    <row r="24" spans="2:5" ht="12.75">
      <c r="B24" s="3"/>
      <c r="C24" s="46"/>
      <c r="E24" s="103"/>
    </row>
    <row r="25" spans="2:5" ht="12.75">
      <c r="B25" s="36"/>
      <c r="C25" s="37"/>
      <c r="E25" s="75"/>
    </row>
    <row r="26" spans="2:5" ht="12.75">
      <c r="B26" s="26"/>
      <c r="C26" s="15"/>
      <c r="E26" s="103"/>
    </row>
    <row r="27" spans="2:3" ht="12.75">
      <c r="B27" s="26"/>
      <c r="C27" s="15"/>
    </row>
    <row r="28" spans="2:3" ht="12.75">
      <c r="B28" s="26"/>
      <c r="C28" s="15"/>
    </row>
    <row r="29" ht="12.75">
      <c r="E29" s="45"/>
    </row>
    <row r="30" spans="2:5" ht="12.75">
      <c r="B30" s="15"/>
      <c r="C30" s="26"/>
      <c r="E30" s="76"/>
    </row>
    <row r="31" spans="2:3" ht="12.75">
      <c r="B31" s="26"/>
      <c r="C31" s="3"/>
    </row>
    <row r="32" spans="2:5" ht="12.75">
      <c r="B32" s="26"/>
      <c r="E32" s="32"/>
    </row>
    <row r="57" ht="12.75">
      <c r="B57" s="2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0"/>
  <sheetViews>
    <sheetView showGridLines="0" tabSelected="1" workbookViewId="0" topLeftCell="A1">
      <selection activeCell="AE24" sqref="AE24"/>
    </sheetView>
  </sheetViews>
  <sheetFormatPr defaultColWidth="10.7109375" defaultRowHeight="12.75"/>
  <cols>
    <col min="1" max="1" width="12.00390625" style="0" customWidth="1"/>
    <col min="2" max="2" width="10.421875" style="0" customWidth="1"/>
    <col min="3" max="3" width="11.421875" style="0" customWidth="1"/>
    <col min="4" max="4" width="14.421875" style="46" customWidth="1"/>
    <col min="5" max="5" width="8.28125" style="0" customWidth="1"/>
    <col min="6" max="6" width="9.140625" style="15" customWidth="1"/>
    <col min="7" max="8" width="8.7109375" style="42" bestFit="1" customWidth="1"/>
    <col min="9" max="13" width="8.7109375" style="15" bestFit="1" customWidth="1"/>
    <col min="14" max="15" width="9.00390625" style="15" customWidth="1"/>
    <col min="16" max="25" width="9.57421875" style="15" bestFit="1" customWidth="1"/>
    <col min="26" max="26" width="9.28125" style="15" customWidth="1"/>
    <col min="27" max="27" width="9.421875" style="15" customWidth="1"/>
    <col min="28" max="30" width="9.7109375" style="15" bestFit="1" customWidth="1"/>
    <col min="31" max="31" width="11.28125" style="0" customWidth="1"/>
    <col min="32" max="32" width="15.421875" style="0" customWidth="1"/>
  </cols>
  <sheetData>
    <row r="1" ht="19.5">
      <c r="A1" s="6" t="s">
        <v>103</v>
      </c>
    </row>
    <row r="2" spans="1:8" ht="19.5">
      <c r="A2" s="6" t="s">
        <v>96</v>
      </c>
      <c r="G2" s="15"/>
      <c r="H2" s="15"/>
    </row>
    <row r="3" spans="4:33" ht="12.75">
      <c r="D3" s="114" t="s">
        <v>5</v>
      </c>
      <c r="E3" s="60" t="s">
        <v>12</v>
      </c>
      <c r="F3" s="84" t="s">
        <v>15</v>
      </c>
      <c r="G3" s="84" t="s">
        <v>16</v>
      </c>
      <c r="H3" s="84" t="s">
        <v>17</v>
      </c>
      <c r="I3" s="84" t="s">
        <v>18</v>
      </c>
      <c r="J3" s="84" t="s">
        <v>19</v>
      </c>
      <c r="K3" s="84" t="s">
        <v>20</v>
      </c>
      <c r="L3" s="84" t="s">
        <v>21</v>
      </c>
      <c r="M3" s="84" t="s">
        <v>22</v>
      </c>
      <c r="N3" s="84" t="s">
        <v>23</v>
      </c>
      <c r="O3" s="84" t="s">
        <v>24</v>
      </c>
      <c r="P3" s="84" t="s">
        <v>25</v>
      </c>
      <c r="Q3" s="84" t="s">
        <v>26</v>
      </c>
      <c r="R3" s="84" t="s">
        <v>27</v>
      </c>
      <c r="S3" s="84" t="s">
        <v>28</v>
      </c>
      <c r="T3" s="84" t="s">
        <v>29</v>
      </c>
      <c r="U3" s="84" t="s">
        <v>30</v>
      </c>
      <c r="V3" s="84" t="s">
        <v>31</v>
      </c>
      <c r="W3" s="84" t="s">
        <v>32</v>
      </c>
      <c r="X3" s="84" t="s">
        <v>33</v>
      </c>
      <c r="Y3" s="84" t="s">
        <v>34</v>
      </c>
      <c r="Z3" s="84" t="s">
        <v>35</v>
      </c>
      <c r="AA3" s="84" t="s">
        <v>36</v>
      </c>
      <c r="AB3" s="84" t="s">
        <v>37</v>
      </c>
      <c r="AC3" s="84" t="s">
        <v>38</v>
      </c>
      <c r="AD3" s="84" t="s">
        <v>39</v>
      </c>
      <c r="AE3" s="61" t="s">
        <v>6</v>
      </c>
      <c r="AF3" s="144" t="s">
        <v>7</v>
      </c>
      <c r="AG3" s="145"/>
    </row>
    <row r="4" spans="5:33" ht="12.75">
      <c r="E4" s="20"/>
      <c r="AF4" s="31"/>
      <c r="AG4" s="15"/>
    </row>
    <row r="5" spans="1:32" ht="12.75">
      <c r="A5" s="7" t="s">
        <v>97</v>
      </c>
      <c r="E5" s="62"/>
      <c r="F5" s="98">
        <v>0.75</v>
      </c>
      <c r="G5" s="119">
        <f>SUM(F5*1.035)</f>
        <v>0.7762499999999999</v>
      </c>
      <c r="H5" s="98">
        <f>SUM(G5*1.035)</f>
        <v>0.8034187499999998</v>
      </c>
      <c r="I5" s="98">
        <f>SUM(H5*1.035)</f>
        <v>0.8315384062499998</v>
      </c>
      <c r="J5" s="98">
        <f>SUM(I5*1.035)</f>
        <v>0.8606422504687496</v>
      </c>
      <c r="K5" s="98">
        <f>SUM(J5*1.035)</f>
        <v>0.8907647292351558</v>
      </c>
      <c r="L5" s="98">
        <f aca="true" t="shared" si="0" ref="L5:AD5">SUM(K5*1.035)</f>
        <v>0.9219414947583862</v>
      </c>
      <c r="M5" s="98">
        <f t="shared" si="0"/>
        <v>0.9542094470749296</v>
      </c>
      <c r="N5" s="98">
        <f t="shared" si="0"/>
        <v>0.9876067777225521</v>
      </c>
      <c r="O5" s="98">
        <f t="shared" si="0"/>
        <v>1.0221730149428414</v>
      </c>
      <c r="P5" s="98">
        <f t="shared" si="0"/>
        <v>1.0579490704658407</v>
      </c>
      <c r="Q5" s="98">
        <f t="shared" si="0"/>
        <v>1.094977287932145</v>
      </c>
      <c r="R5" s="98">
        <f t="shared" si="0"/>
        <v>1.13330149300977</v>
      </c>
      <c r="S5" s="98">
        <f t="shared" si="0"/>
        <v>1.172967045265112</v>
      </c>
      <c r="T5" s="98">
        <f t="shared" si="0"/>
        <v>1.2140208918493909</v>
      </c>
      <c r="U5" s="98">
        <f t="shared" si="0"/>
        <v>1.2565116230641196</v>
      </c>
      <c r="V5" s="98">
        <f t="shared" si="0"/>
        <v>1.3004895298713637</v>
      </c>
      <c r="W5" s="98">
        <f t="shared" si="0"/>
        <v>1.3460066634168613</v>
      </c>
      <c r="X5" s="98">
        <f t="shared" si="0"/>
        <v>1.3931168966364513</v>
      </c>
      <c r="Y5" s="98">
        <f t="shared" si="0"/>
        <v>1.441875988018727</v>
      </c>
      <c r="Z5" s="98">
        <f t="shared" si="0"/>
        <v>1.4923416475993825</v>
      </c>
      <c r="AA5" s="98">
        <f t="shared" si="0"/>
        <v>1.5445736052653607</v>
      </c>
      <c r="AB5" s="98">
        <f t="shared" si="0"/>
        <v>1.5986336814496482</v>
      </c>
      <c r="AC5" s="98">
        <f t="shared" si="0"/>
        <v>1.6545858603003858</v>
      </c>
      <c r="AD5" s="98">
        <f t="shared" si="0"/>
        <v>1.7124963654108991</v>
      </c>
      <c r="AE5" s="53"/>
      <c r="AF5" s="7" t="s">
        <v>60</v>
      </c>
    </row>
    <row r="6" spans="1:32" ht="12.75">
      <c r="A6" t="s">
        <v>102</v>
      </c>
      <c r="C6" s="15" t="s">
        <v>98</v>
      </c>
      <c r="E6" s="62"/>
      <c r="F6" s="85">
        <f>SUM(25*0.75*300)</f>
        <v>5625</v>
      </c>
      <c r="G6" s="85">
        <f>SUM(F6*1.04)</f>
        <v>5850</v>
      </c>
      <c r="H6" s="85">
        <f aca="true" t="shared" si="1" ref="H6:AD6">SUM(G6*1.05)</f>
        <v>6142.5</v>
      </c>
      <c r="I6" s="85">
        <f t="shared" si="1"/>
        <v>6449.625</v>
      </c>
      <c r="J6" s="85">
        <f t="shared" si="1"/>
        <v>6772.106250000001</v>
      </c>
      <c r="K6" s="85">
        <f t="shared" si="1"/>
        <v>7110.7115625000015</v>
      </c>
      <c r="L6" s="85">
        <f t="shared" si="1"/>
        <v>7466.2471406250015</v>
      </c>
      <c r="M6" s="85">
        <f t="shared" si="1"/>
        <v>7839.559497656252</v>
      </c>
      <c r="N6" s="85">
        <f t="shared" si="1"/>
        <v>8231.537472539065</v>
      </c>
      <c r="O6" s="85">
        <f t="shared" si="1"/>
        <v>8643.114346166018</v>
      </c>
      <c r="P6" s="85">
        <f t="shared" si="1"/>
        <v>9075.27006347432</v>
      </c>
      <c r="Q6" s="85">
        <f t="shared" si="1"/>
        <v>9529.033566648037</v>
      </c>
      <c r="R6" s="85">
        <f t="shared" si="1"/>
        <v>10005.485244980438</v>
      </c>
      <c r="S6" s="85">
        <f t="shared" si="1"/>
        <v>10505.75950722946</v>
      </c>
      <c r="T6" s="85">
        <f t="shared" si="1"/>
        <v>11031.047482590935</v>
      </c>
      <c r="U6" s="85">
        <f t="shared" si="1"/>
        <v>11582.599856720482</v>
      </c>
      <c r="V6" s="85">
        <f t="shared" si="1"/>
        <v>12161.729849556506</v>
      </c>
      <c r="W6" s="85">
        <f t="shared" si="1"/>
        <v>12769.816342034332</v>
      </c>
      <c r="X6" s="85">
        <f t="shared" si="1"/>
        <v>13408.30715913605</v>
      </c>
      <c r="Y6" s="85">
        <f t="shared" si="1"/>
        <v>14078.722517092852</v>
      </c>
      <c r="Z6" s="85">
        <f t="shared" si="1"/>
        <v>14782.658642947496</v>
      </c>
      <c r="AA6" s="85">
        <f t="shared" si="1"/>
        <v>15521.79157509487</v>
      </c>
      <c r="AB6" s="85">
        <f t="shared" si="1"/>
        <v>16297.881153849614</v>
      </c>
      <c r="AC6" s="85">
        <f t="shared" si="1"/>
        <v>17112.775211542095</v>
      </c>
      <c r="AD6" s="85">
        <f t="shared" si="1"/>
        <v>17968.4139721192</v>
      </c>
      <c r="AE6" s="53"/>
      <c r="AF6" t="s">
        <v>90</v>
      </c>
    </row>
    <row r="7" spans="1:32" ht="12.75">
      <c r="A7" t="s">
        <v>85</v>
      </c>
      <c r="C7" s="15" t="s">
        <v>86</v>
      </c>
      <c r="E7" s="62"/>
      <c r="F7" s="85">
        <f>SUM(2*2*300)</f>
        <v>1200</v>
      </c>
      <c r="G7" s="85">
        <f>SUM(F7*1.04)</f>
        <v>1248</v>
      </c>
      <c r="H7" s="85">
        <f aca="true" t="shared" si="2" ref="H7:M7">SUM(G7*1.05)</f>
        <v>1310.4</v>
      </c>
      <c r="I7" s="85">
        <f t="shared" si="2"/>
        <v>1375.92</v>
      </c>
      <c r="J7" s="85">
        <f t="shared" si="2"/>
        <v>1444.7160000000001</v>
      </c>
      <c r="K7" s="85">
        <f t="shared" si="2"/>
        <v>1516.9518000000003</v>
      </c>
      <c r="L7" s="85">
        <f t="shared" si="2"/>
        <v>1592.7993900000004</v>
      </c>
      <c r="M7" s="85">
        <f t="shared" si="2"/>
        <v>1672.4393595000004</v>
      </c>
      <c r="N7" s="87">
        <f aca="true" t="shared" si="3" ref="N7:AD7">SUM(M7*1.05)</f>
        <v>1756.0613274750006</v>
      </c>
      <c r="O7" s="87">
        <f t="shared" si="3"/>
        <v>1843.8643938487508</v>
      </c>
      <c r="P7" s="87">
        <f t="shared" si="3"/>
        <v>1936.0576135411884</v>
      </c>
      <c r="Q7" s="87">
        <f t="shared" si="3"/>
        <v>2032.8604942182478</v>
      </c>
      <c r="R7" s="87">
        <f t="shared" si="3"/>
        <v>2134.5035189291602</v>
      </c>
      <c r="S7" s="87">
        <f t="shared" si="3"/>
        <v>2241.228694875618</v>
      </c>
      <c r="T7" s="87">
        <f t="shared" si="3"/>
        <v>2353.290129619399</v>
      </c>
      <c r="U7" s="87">
        <f t="shared" si="3"/>
        <v>2470.954636100369</v>
      </c>
      <c r="V7" s="87">
        <f t="shared" si="3"/>
        <v>2594.5023679053875</v>
      </c>
      <c r="W7" s="87">
        <f t="shared" si="3"/>
        <v>2724.227486300657</v>
      </c>
      <c r="X7" s="87">
        <f t="shared" si="3"/>
        <v>2860.43886061569</v>
      </c>
      <c r="Y7" s="87">
        <f t="shared" si="3"/>
        <v>3003.4608036464747</v>
      </c>
      <c r="Z7" s="87">
        <f t="shared" si="3"/>
        <v>3153.6338438287985</v>
      </c>
      <c r="AA7" s="87">
        <f t="shared" si="3"/>
        <v>3311.3155360202386</v>
      </c>
      <c r="AB7" s="87">
        <f t="shared" si="3"/>
        <v>3476.8813128212505</v>
      </c>
      <c r="AC7" s="87">
        <f t="shared" si="3"/>
        <v>3650.725378462313</v>
      </c>
      <c r="AD7" s="87">
        <f t="shared" si="3"/>
        <v>3833.261647385429</v>
      </c>
      <c r="AE7" s="53"/>
      <c r="AF7" t="s">
        <v>91</v>
      </c>
    </row>
    <row r="8" spans="1:32" ht="12.75">
      <c r="A8" t="s">
        <v>70</v>
      </c>
      <c r="C8" s="15" t="s">
        <v>99</v>
      </c>
      <c r="D8" s="115"/>
      <c r="E8" s="63"/>
      <c r="F8" s="85">
        <f>SUM(2*2*75)</f>
        <v>300</v>
      </c>
      <c r="G8" s="85">
        <f>SUM(F8*1.04)</f>
        <v>312</v>
      </c>
      <c r="H8" s="85">
        <f>SUM(G8*1.05)</f>
        <v>327.6</v>
      </c>
      <c r="I8" s="85">
        <f>SUM(H8*1.05)</f>
        <v>343.98</v>
      </c>
      <c r="J8" s="85">
        <f>SUM(I8*1.05)</f>
        <v>361.17900000000003</v>
      </c>
      <c r="K8" s="85">
        <f>SUM(J8*1.05)</f>
        <v>379.23795000000007</v>
      </c>
      <c r="L8" s="70">
        <f>SUM(K8*1.05)</f>
        <v>398.1998475000001</v>
      </c>
      <c r="M8" s="70">
        <f aca="true" t="shared" si="4" ref="M8:AD8">SUM(L8*1.05)</f>
        <v>418.1098398750001</v>
      </c>
      <c r="N8" s="70">
        <f t="shared" si="4"/>
        <v>439.01533186875014</v>
      </c>
      <c r="O8" s="70">
        <f t="shared" si="4"/>
        <v>460.9660984621877</v>
      </c>
      <c r="P8" s="70">
        <f t="shared" si="4"/>
        <v>484.0144033852971</v>
      </c>
      <c r="Q8" s="70">
        <f t="shared" si="4"/>
        <v>508.21512355456196</v>
      </c>
      <c r="R8" s="70">
        <f t="shared" si="4"/>
        <v>533.6258797322901</v>
      </c>
      <c r="S8" s="70">
        <f t="shared" si="4"/>
        <v>560.3071737189046</v>
      </c>
      <c r="T8" s="70">
        <f t="shared" si="4"/>
        <v>588.3225324048498</v>
      </c>
      <c r="U8" s="70">
        <f t="shared" si="4"/>
        <v>617.7386590250923</v>
      </c>
      <c r="V8" s="70">
        <f t="shared" si="4"/>
        <v>648.6255919763469</v>
      </c>
      <c r="W8" s="70">
        <f t="shared" si="4"/>
        <v>681.0568715751642</v>
      </c>
      <c r="X8" s="70">
        <f t="shared" si="4"/>
        <v>715.1097151539225</v>
      </c>
      <c r="Y8" s="70">
        <f t="shared" si="4"/>
        <v>750.8652009116187</v>
      </c>
      <c r="Z8" s="70">
        <f t="shared" si="4"/>
        <v>788.4084609571996</v>
      </c>
      <c r="AA8" s="70">
        <f t="shared" si="4"/>
        <v>827.8288840050596</v>
      </c>
      <c r="AB8" s="70">
        <f t="shared" si="4"/>
        <v>869.2203282053126</v>
      </c>
      <c r="AC8" s="70">
        <f t="shared" si="4"/>
        <v>912.6813446155783</v>
      </c>
      <c r="AD8" s="70">
        <f t="shared" si="4"/>
        <v>958.3154118463573</v>
      </c>
      <c r="AE8" s="52"/>
      <c r="AF8" t="s">
        <v>92</v>
      </c>
    </row>
    <row r="9" spans="1:32" ht="12.75">
      <c r="A9" t="s">
        <v>88</v>
      </c>
      <c r="D9" s="114"/>
      <c r="E9" s="64"/>
      <c r="F9" s="85">
        <v>300</v>
      </c>
      <c r="G9" s="50">
        <f>SUM(F9*1.05)</f>
        <v>315</v>
      </c>
      <c r="H9" s="50">
        <f aca="true" t="shared" si="5" ref="H9:AD9">SUM(G9*1.05)</f>
        <v>330.75</v>
      </c>
      <c r="I9" s="50">
        <f t="shared" si="5"/>
        <v>347.2875</v>
      </c>
      <c r="J9" s="50">
        <f t="shared" si="5"/>
        <v>364.651875</v>
      </c>
      <c r="K9" s="50">
        <f t="shared" si="5"/>
        <v>382.88446875000005</v>
      </c>
      <c r="L9" s="50">
        <f t="shared" si="5"/>
        <v>402.0286921875001</v>
      </c>
      <c r="M9" s="50">
        <f t="shared" si="5"/>
        <v>422.1301267968751</v>
      </c>
      <c r="N9" s="50">
        <f t="shared" si="5"/>
        <v>443.23663313671886</v>
      </c>
      <c r="O9" s="50">
        <f t="shared" si="5"/>
        <v>465.3984647935548</v>
      </c>
      <c r="P9" s="50">
        <f t="shared" si="5"/>
        <v>488.6683880332326</v>
      </c>
      <c r="Q9" s="50">
        <f t="shared" si="5"/>
        <v>513.1018074348942</v>
      </c>
      <c r="R9" s="50">
        <f t="shared" si="5"/>
        <v>538.756897806639</v>
      </c>
      <c r="S9" s="50">
        <f t="shared" si="5"/>
        <v>565.694742696971</v>
      </c>
      <c r="T9" s="50">
        <f t="shared" si="5"/>
        <v>593.9794798318196</v>
      </c>
      <c r="U9" s="50">
        <f t="shared" si="5"/>
        <v>623.6784538234107</v>
      </c>
      <c r="V9" s="50">
        <f t="shared" si="5"/>
        <v>654.8623765145812</v>
      </c>
      <c r="W9" s="50">
        <f t="shared" si="5"/>
        <v>687.6054953403103</v>
      </c>
      <c r="X9" s="50">
        <f t="shared" si="5"/>
        <v>721.9857701073258</v>
      </c>
      <c r="Y9" s="50">
        <f t="shared" si="5"/>
        <v>758.0850586126921</v>
      </c>
      <c r="Z9" s="50">
        <f t="shared" si="5"/>
        <v>795.9893115433267</v>
      </c>
      <c r="AA9" s="50">
        <f t="shared" si="5"/>
        <v>835.7887771204931</v>
      </c>
      <c r="AB9" s="50">
        <f t="shared" si="5"/>
        <v>877.5782159765179</v>
      </c>
      <c r="AC9" s="50">
        <f t="shared" si="5"/>
        <v>921.4571267753438</v>
      </c>
      <c r="AD9" s="50">
        <f t="shared" si="5"/>
        <v>967.529983114111</v>
      </c>
      <c r="AE9" s="54"/>
      <c r="AF9" t="s">
        <v>93</v>
      </c>
    </row>
    <row r="10" spans="1:32" ht="12.75">
      <c r="A10" t="s">
        <v>87</v>
      </c>
      <c r="D10" s="114"/>
      <c r="E10" s="64"/>
      <c r="F10" s="85">
        <f aca="true" t="shared" si="6" ref="F10:AD10">SUM(F6:F9)</f>
        <v>7425</v>
      </c>
      <c r="G10" s="85">
        <f t="shared" si="6"/>
        <v>7725</v>
      </c>
      <c r="H10" s="85">
        <f t="shared" si="6"/>
        <v>8111.25</v>
      </c>
      <c r="I10" s="85">
        <f t="shared" si="6"/>
        <v>8516.8125</v>
      </c>
      <c r="J10" s="85">
        <f t="shared" si="6"/>
        <v>8942.653125</v>
      </c>
      <c r="K10" s="85">
        <f t="shared" si="6"/>
        <v>9389.785781250002</v>
      </c>
      <c r="L10" s="85">
        <f t="shared" si="6"/>
        <v>9859.275070312502</v>
      </c>
      <c r="M10" s="85">
        <f t="shared" si="6"/>
        <v>10352.238823828127</v>
      </c>
      <c r="N10" s="85">
        <f t="shared" si="6"/>
        <v>10869.850765019535</v>
      </c>
      <c r="O10" s="85">
        <f t="shared" si="6"/>
        <v>11413.34330327051</v>
      </c>
      <c r="P10" s="85">
        <f t="shared" si="6"/>
        <v>11984.010468434039</v>
      </c>
      <c r="Q10" s="85">
        <f t="shared" si="6"/>
        <v>12583.210991855742</v>
      </c>
      <c r="R10" s="85">
        <f t="shared" si="6"/>
        <v>13212.371541448527</v>
      </c>
      <c r="S10" s="85">
        <f t="shared" si="6"/>
        <v>13872.990118520955</v>
      </c>
      <c r="T10" s="85">
        <f t="shared" si="6"/>
        <v>14566.639624447003</v>
      </c>
      <c r="U10" s="85">
        <f t="shared" si="6"/>
        <v>15294.971605669354</v>
      </c>
      <c r="V10" s="85">
        <f t="shared" si="6"/>
        <v>16059.720185952821</v>
      </c>
      <c r="W10" s="85">
        <f t="shared" si="6"/>
        <v>16862.706195250463</v>
      </c>
      <c r="X10" s="85">
        <f t="shared" si="6"/>
        <v>17705.841505012988</v>
      </c>
      <c r="Y10" s="85">
        <f t="shared" si="6"/>
        <v>18591.13358026364</v>
      </c>
      <c r="Z10" s="85">
        <f t="shared" si="6"/>
        <v>19520.690259276817</v>
      </c>
      <c r="AA10" s="85">
        <f t="shared" si="6"/>
        <v>20496.72477224066</v>
      </c>
      <c r="AB10" s="85">
        <f t="shared" si="6"/>
        <v>21521.561010852696</v>
      </c>
      <c r="AC10" s="85">
        <f t="shared" si="6"/>
        <v>22597.639061395334</v>
      </c>
      <c r="AD10" s="85">
        <f t="shared" si="6"/>
        <v>23727.5210144651</v>
      </c>
      <c r="AE10" s="52"/>
      <c r="AF10" t="s">
        <v>14</v>
      </c>
    </row>
    <row r="11" spans="1:32" ht="12.75">
      <c r="A11" s="146" t="s">
        <v>58</v>
      </c>
      <c r="B11" s="146"/>
      <c r="C11" s="146"/>
      <c r="D11" s="146"/>
      <c r="E11" s="146"/>
      <c r="F11" s="88">
        <f>SUM(F10*0.05)</f>
        <v>371.25</v>
      </c>
      <c r="G11" s="88">
        <f aca="true" t="shared" si="7" ref="G11:AD11">SUM(G10*0.05)</f>
        <v>386.25</v>
      </c>
      <c r="H11" s="88">
        <f t="shared" si="7"/>
        <v>405.5625</v>
      </c>
      <c r="I11" s="88">
        <f t="shared" si="7"/>
        <v>425.84062500000005</v>
      </c>
      <c r="J11" s="88">
        <f t="shared" si="7"/>
        <v>447.1326562500001</v>
      </c>
      <c r="K11" s="88">
        <f t="shared" si="7"/>
        <v>469.4892890625001</v>
      </c>
      <c r="L11" s="88">
        <f t="shared" si="7"/>
        <v>492.9637535156251</v>
      </c>
      <c r="M11" s="88">
        <f t="shared" si="7"/>
        <v>517.6119411914063</v>
      </c>
      <c r="N11" s="88">
        <f t="shared" si="7"/>
        <v>543.4925382509767</v>
      </c>
      <c r="O11" s="88">
        <f t="shared" si="7"/>
        <v>570.6671651635255</v>
      </c>
      <c r="P11" s="88">
        <f t="shared" si="7"/>
        <v>599.200523421702</v>
      </c>
      <c r="Q11" s="88">
        <f t="shared" si="7"/>
        <v>629.1605495927871</v>
      </c>
      <c r="R11" s="88">
        <f t="shared" si="7"/>
        <v>660.6185770724264</v>
      </c>
      <c r="S11" s="88">
        <f t="shared" si="7"/>
        <v>693.6495059260478</v>
      </c>
      <c r="T11" s="88">
        <f t="shared" si="7"/>
        <v>728.3319812223502</v>
      </c>
      <c r="U11" s="88">
        <f t="shared" si="7"/>
        <v>764.7485802834677</v>
      </c>
      <c r="V11" s="88">
        <f t="shared" si="7"/>
        <v>802.9860092976411</v>
      </c>
      <c r="W11" s="88">
        <f t="shared" si="7"/>
        <v>843.1353097625232</v>
      </c>
      <c r="X11" s="88">
        <f t="shared" si="7"/>
        <v>885.2920752506494</v>
      </c>
      <c r="Y11" s="88">
        <f t="shared" si="7"/>
        <v>929.556679013182</v>
      </c>
      <c r="Z11" s="88">
        <f t="shared" si="7"/>
        <v>976.0345129638408</v>
      </c>
      <c r="AA11" s="88">
        <f t="shared" si="7"/>
        <v>1024.8362386120332</v>
      </c>
      <c r="AB11" s="88">
        <f t="shared" si="7"/>
        <v>1076.0780505426349</v>
      </c>
      <c r="AC11" s="88">
        <f t="shared" si="7"/>
        <v>1129.8819530697667</v>
      </c>
      <c r="AD11" s="88">
        <f t="shared" si="7"/>
        <v>1186.376050723255</v>
      </c>
      <c r="AE11" s="55"/>
      <c r="AF11" t="s">
        <v>94</v>
      </c>
    </row>
    <row r="12" spans="1:32" ht="12.75">
      <c r="A12" t="s">
        <v>53</v>
      </c>
      <c r="D12" s="114"/>
      <c r="E12" s="64"/>
      <c r="F12" s="102">
        <f aca="true" t="shared" si="8" ref="F12:L12">SUM(F10:F11)</f>
        <v>7796.25</v>
      </c>
      <c r="G12" s="102">
        <f t="shared" si="8"/>
        <v>8111.25</v>
      </c>
      <c r="H12" s="102">
        <f t="shared" si="8"/>
        <v>8516.8125</v>
      </c>
      <c r="I12" s="102">
        <f t="shared" si="8"/>
        <v>8942.653125</v>
      </c>
      <c r="J12" s="102">
        <f t="shared" si="8"/>
        <v>9389.78578125</v>
      </c>
      <c r="K12" s="102">
        <f t="shared" si="8"/>
        <v>9859.275070312502</v>
      </c>
      <c r="L12" s="102">
        <f t="shared" si="8"/>
        <v>10352.238823828127</v>
      </c>
      <c r="M12" s="102">
        <f aca="true" t="shared" si="9" ref="M12:AD12">SUM(M10:M11)</f>
        <v>10869.850765019533</v>
      </c>
      <c r="N12" s="102">
        <f t="shared" si="9"/>
        <v>11413.343303270512</v>
      </c>
      <c r="O12" s="102">
        <f t="shared" si="9"/>
        <v>11984.010468434037</v>
      </c>
      <c r="P12" s="102">
        <f t="shared" si="9"/>
        <v>12583.21099185574</v>
      </c>
      <c r="Q12" s="102">
        <f t="shared" si="9"/>
        <v>13212.371541448529</v>
      </c>
      <c r="R12" s="102">
        <f t="shared" si="9"/>
        <v>13872.990118520953</v>
      </c>
      <c r="S12" s="102">
        <f t="shared" si="9"/>
        <v>14566.639624447002</v>
      </c>
      <c r="T12" s="102">
        <f t="shared" si="9"/>
        <v>15294.971605669354</v>
      </c>
      <c r="U12" s="102">
        <f t="shared" si="9"/>
        <v>16059.720185952821</v>
      </c>
      <c r="V12" s="102">
        <f t="shared" si="9"/>
        <v>16862.706195250463</v>
      </c>
      <c r="W12" s="102">
        <f t="shared" si="9"/>
        <v>17705.841505012984</v>
      </c>
      <c r="X12" s="102">
        <f t="shared" si="9"/>
        <v>18591.13358026364</v>
      </c>
      <c r="Y12" s="102">
        <f t="shared" si="9"/>
        <v>19520.69025927682</v>
      </c>
      <c r="Z12" s="102">
        <f t="shared" si="9"/>
        <v>20496.724772240657</v>
      </c>
      <c r="AA12" s="102">
        <f t="shared" si="9"/>
        <v>21521.561010852693</v>
      </c>
      <c r="AB12" s="102">
        <f t="shared" si="9"/>
        <v>22597.63906139533</v>
      </c>
      <c r="AC12" s="102">
        <f t="shared" si="9"/>
        <v>23727.5210144651</v>
      </c>
      <c r="AD12" s="102">
        <f t="shared" si="9"/>
        <v>24913.897065188354</v>
      </c>
      <c r="AE12" s="55">
        <f>SUM(F12:AD12)</f>
        <v>368763.0883689551</v>
      </c>
      <c r="AF12" t="s">
        <v>59</v>
      </c>
    </row>
    <row r="13" spans="1:33" s="30" customFormat="1" ht="12.75">
      <c r="A13" s="23"/>
      <c r="B13" s="24"/>
      <c r="D13" s="116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6"/>
      <c r="AF13" s="26"/>
      <c r="AG13" s="15"/>
    </row>
    <row r="14" spans="1:33" ht="12.75">
      <c r="A14" s="7" t="s">
        <v>8</v>
      </c>
      <c r="E14" s="66"/>
      <c r="F14" s="50"/>
      <c r="G14" s="50"/>
      <c r="H14" s="51"/>
      <c r="I14" s="59"/>
      <c r="J14" s="70"/>
      <c r="K14" s="70"/>
      <c r="L14" s="70"/>
      <c r="M14" s="70"/>
      <c r="N14" s="70"/>
      <c r="O14" s="50"/>
      <c r="P14" s="71"/>
      <c r="Q14" s="71"/>
      <c r="R14" s="71"/>
      <c r="S14" s="71"/>
      <c r="T14" s="71"/>
      <c r="U14" s="71"/>
      <c r="V14" s="53"/>
      <c r="W14" s="53"/>
      <c r="X14" s="53"/>
      <c r="Y14" s="53"/>
      <c r="Z14" s="53"/>
      <c r="AA14" s="53"/>
      <c r="AB14" s="53"/>
      <c r="AC14" s="53"/>
      <c r="AD14" s="53"/>
      <c r="AE14" s="52"/>
      <c r="AF14" s="25" t="s">
        <v>8</v>
      </c>
      <c r="AG14" s="15"/>
    </row>
    <row r="15" spans="1:33" ht="12.75">
      <c r="A15" s="147" t="s">
        <v>143</v>
      </c>
      <c r="B15" s="146"/>
      <c r="C15" s="146"/>
      <c r="D15" s="146"/>
      <c r="E15" s="146"/>
      <c r="F15" s="50">
        <f>SUM(F12*0.3)</f>
        <v>2338.875</v>
      </c>
      <c r="G15" s="50">
        <f aca="true" t="shared" si="10" ref="G15:AD15">SUM(G12*0.3)</f>
        <v>2433.375</v>
      </c>
      <c r="H15" s="50">
        <f t="shared" si="10"/>
        <v>2555.04375</v>
      </c>
      <c r="I15" s="50">
        <f t="shared" si="10"/>
        <v>2682.7959375</v>
      </c>
      <c r="J15" s="50">
        <f t="shared" si="10"/>
        <v>2816.9357343750003</v>
      </c>
      <c r="K15" s="50">
        <f t="shared" si="10"/>
        <v>2957.7825210937503</v>
      </c>
      <c r="L15" s="50">
        <f t="shared" si="10"/>
        <v>3105.6716471484383</v>
      </c>
      <c r="M15" s="50">
        <f t="shared" si="10"/>
        <v>3260.9552295058597</v>
      </c>
      <c r="N15" s="50">
        <f t="shared" si="10"/>
        <v>3424.0029909811537</v>
      </c>
      <c r="O15" s="50">
        <f t="shared" si="10"/>
        <v>3595.203140530211</v>
      </c>
      <c r="P15" s="50">
        <f t="shared" si="10"/>
        <v>3774.963297556722</v>
      </c>
      <c r="Q15" s="50">
        <f t="shared" si="10"/>
        <v>3963.7114624345586</v>
      </c>
      <c r="R15" s="50">
        <f t="shared" si="10"/>
        <v>4161.897035556286</v>
      </c>
      <c r="S15" s="50">
        <f t="shared" si="10"/>
        <v>4369.9918873341</v>
      </c>
      <c r="T15" s="50">
        <f t="shared" si="10"/>
        <v>4588.491481700806</v>
      </c>
      <c r="U15" s="50">
        <f t="shared" si="10"/>
        <v>4817.916055785846</v>
      </c>
      <c r="V15" s="50">
        <f t="shared" si="10"/>
        <v>5058.811858575139</v>
      </c>
      <c r="W15" s="50">
        <f t="shared" si="10"/>
        <v>5311.752451503895</v>
      </c>
      <c r="X15" s="50">
        <f t="shared" si="10"/>
        <v>5577.340074079091</v>
      </c>
      <c r="Y15" s="50">
        <f t="shared" si="10"/>
        <v>5856.207077783046</v>
      </c>
      <c r="Z15" s="50">
        <f t="shared" si="10"/>
        <v>6149.017431672197</v>
      </c>
      <c r="AA15" s="50">
        <f t="shared" si="10"/>
        <v>6456.468303255808</v>
      </c>
      <c r="AB15" s="50">
        <f t="shared" si="10"/>
        <v>6779.291718418599</v>
      </c>
      <c r="AC15" s="50">
        <f t="shared" si="10"/>
        <v>7118.256304339529</v>
      </c>
      <c r="AD15" s="50">
        <f t="shared" si="10"/>
        <v>7474.169119556505</v>
      </c>
      <c r="AE15" s="52">
        <f>SUM(F15:AD15)</f>
        <v>110628.92651068655</v>
      </c>
      <c r="AF15" s="26" t="s">
        <v>144</v>
      </c>
      <c r="AG15" s="15"/>
    </row>
    <row r="16" spans="1:33" ht="12.75">
      <c r="A16" s="3" t="s">
        <v>10</v>
      </c>
      <c r="D16" s="114"/>
      <c r="E16" s="66"/>
      <c r="F16" s="50">
        <f>SUM(F12*0.03)</f>
        <v>233.8875</v>
      </c>
      <c r="G16" s="50">
        <f>SUM(G12*0.03)</f>
        <v>243.33749999999998</v>
      </c>
      <c r="H16" s="50">
        <f aca="true" t="shared" si="11" ref="H16:AD16">SUM(H12*0.03)</f>
        <v>255.50437499999998</v>
      </c>
      <c r="I16" s="50">
        <f t="shared" si="11"/>
        <v>268.27959375</v>
      </c>
      <c r="J16" s="50">
        <f t="shared" si="11"/>
        <v>281.6935734375</v>
      </c>
      <c r="K16" s="50">
        <f t="shared" si="11"/>
        <v>295.77825210937505</v>
      </c>
      <c r="L16" s="50">
        <f t="shared" si="11"/>
        <v>310.5671647148438</v>
      </c>
      <c r="M16" s="50">
        <f t="shared" si="11"/>
        <v>326.095522950586</v>
      </c>
      <c r="N16" s="50">
        <f t="shared" si="11"/>
        <v>342.40029909811534</v>
      </c>
      <c r="O16" s="50">
        <f t="shared" si="11"/>
        <v>359.5203140530211</v>
      </c>
      <c r="P16" s="50">
        <f t="shared" si="11"/>
        <v>377.4963297556722</v>
      </c>
      <c r="Q16" s="50">
        <f t="shared" si="11"/>
        <v>396.3711462434558</v>
      </c>
      <c r="R16" s="50">
        <f t="shared" si="11"/>
        <v>416.18970355562857</v>
      </c>
      <c r="S16" s="50">
        <f t="shared" si="11"/>
        <v>436.99918873341005</v>
      </c>
      <c r="T16" s="50">
        <f t="shared" si="11"/>
        <v>458.8491481700806</v>
      </c>
      <c r="U16" s="50">
        <f t="shared" si="11"/>
        <v>481.7916055785846</v>
      </c>
      <c r="V16" s="50">
        <f t="shared" si="11"/>
        <v>505.88118585751386</v>
      </c>
      <c r="W16" s="50">
        <f t="shared" si="11"/>
        <v>531.1752451503895</v>
      </c>
      <c r="X16" s="50">
        <f t="shared" si="11"/>
        <v>557.7340074079092</v>
      </c>
      <c r="Y16" s="50">
        <f t="shared" si="11"/>
        <v>585.6207077783046</v>
      </c>
      <c r="Z16" s="50">
        <f t="shared" si="11"/>
        <v>614.9017431672197</v>
      </c>
      <c r="AA16" s="50">
        <f t="shared" si="11"/>
        <v>645.6468303255807</v>
      </c>
      <c r="AB16" s="50">
        <f t="shared" si="11"/>
        <v>677.9291718418599</v>
      </c>
      <c r="AC16" s="50">
        <f t="shared" si="11"/>
        <v>711.8256304339529</v>
      </c>
      <c r="AD16" s="50">
        <f t="shared" si="11"/>
        <v>747.4169119556506</v>
      </c>
      <c r="AE16" s="52">
        <f>SUM(F16:AD16)</f>
        <v>11062.89265106865</v>
      </c>
      <c r="AF16" s="26" t="s">
        <v>9</v>
      </c>
      <c r="AG16" s="15"/>
    </row>
    <row r="17" spans="1:33" ht="12.75">
      <c r="A17" s="3" t="s">
        <v>142</v>
      </c>
      <c r="D17" s="114"/>
      <c r="E17" s="67"/>
      <c r="F17" s="100">
        <f>SUM(F12*0.035)</f>
        <v>272.86875000000003</v>
      </c>
      <c r="G17" s="100">
        <f>SUM(G12*0.035)</f>
        <v>283.89375</v>
      </c>
      <c r="H17" s="100">
        <f aca="true" t="shared" si="12" ref="H17:AD17">SUM(H12*0.035)</f>
        <v>298.08843750000005</v>
      </c>
      <c r="I17" s="100">
        <f t="shared" si="12"/>
        <v>312.9928593750001</v>
      </c>
      <c r="J17" s="100">
        <f t="shared" si="12"/>
        <v>328.64250234375004</v>
      </c>
      <c r="K17" s="100">
        <f t="shared" si="12"/>
        <v>345.0746274609376</v>
      </c>
      <c r="L17" s="100">
        <f t="shared" si="12"/>
        <v>362.3283588339845</v>
      </c>
      <c r="M17" s="100">
        <f t="shared" si="12"/>
        <v>380.4447767756837</v>
      </c>
      <c r="N17" s="100">
        <f t="shared" si="12"/>
        <v>399.467015614468</v>
      </c>
      <c r="O17" s="100">
        <f t="shared" si="12"/>
        <v>419.44036639519135</v>
      </c>
      <c r="P17" s="100">
        <f t="shared" si="12"/>
        <v>440.4123847149509</v>
      </c>
      <c r="Q17" s="100">
        <f t="shared" si="12"/>
        <v>462.43300395069855</v>
      </c>
      <c r="R17" s="100">
        <f t="shared" si="12"/>
        <v>485.5546541482334</v>
      </c>
      <c r="S17" s="100">
        <f t="shared" si="12"/>
        <v>509.8323868556451</v>
      </c>
      <c r="T17" s="100">
        <f t="shared" si="12"/>
        <v>535.3240061984275</v>
      </c>
      <c r="U17" s="100">
        <f t="shared" si="12"/>
        <v>562.0902065083488</v>
      </c>
      <c r="V17" s="100">
        <f t="shared" si="12"/>
        <v>590.1947168337663</v>
      </c>
      <c r="W17" s="100">
        <f t="shared" si="12"/>
        <v>619.7044526754545</v>
      </c>
      <c r="X17" s="100">
        <f t="shared" si="12"/>
        <v>650.6896753092274</v>
      </c>
      <c r="Y17" s="100">
        <f t="shared" si="12"/>
        <v>683.2241590746887</v>
      </c>
      <c r="Z17" s="100">
        <f t="shared" si="12"/>
        <v>717.385367028423</v>
      </c>
      <c r="AA17" s="100">
        <f t="shared" si="12"/>
        <v>753.2546353798443</v>
      </c>
      <c r="AB17" s="100">
        <f t="shared" si="12"/>
        <v>790.9173671488367</v>
      </c>
      <c r="AC17" s="100">
        <f t="shared" si="12"/>
        <v>830.4632355062786</v>
      </c>
      <c r="AD17" s="100">
        <f t="shared" si="12"/>
        <v>871.9863972815924</v>
      </c>
      <c r="AE17" s="52">
        <f>SUM(F17:AD17)</f>
        <v>12906.708092913432</v>
      </c>
      <c r="AF17" s="26" t="s">
        <v>141</v>
      </c>
      <c r="AG17" s="15"/>
    </row>
    <row r="18" spans="1:33" s="35" customFormat="1" ht="13.5" thickBot="1">
      <c r="A18" s="38" t="s">
        <v>0</v>
      </c>
      <c r="D18" s="117"/>
      <c r="E18" s="68"/>
      <c r="F18" s="101">
        <f aca="true" t="shared" si="13" ref="F18:AD18">SUM(F15:F17)</f>
        <v>2845.63125</v>
      </c>
      <c r="G18" s="101">
        <f t="shared" si="13"/>
        <v>2960.6062500000003</v>
      </c>
      <c r="H18" s="101">
        <f t="shared" si="13"/>
        <v>3108.6365625</v>
      </c>
      <c r="I18" s="101">
        <f t="shared" si="13"/>
        <v>3264.068390625</v>
      </c>
      <c r="J18" s="101">
        <f t="shared" si="13"/>
        <v>3427.2718101562505</v>
      </c>
      <c r="K18" s="101">
        <f t="shared" si="13"/>
        <v>3598.635400664063</v>
      </c>
      <c r="L18" s="101">
        <f t="shared" si="13"/>
        <v>3778.5671706972666</v>
      </c>
      <c r="M18" s="101">
        <f t="shared" si="13"/>
        <v>3967.4955292321292</v>
      </c>
      <c r="N18" s="101">
        <f t="shared" si="13"/>
        <v>4165.8703056937375</v>
      </c>
      <c r="O18" s="101">
        <f t="shared" si="13"/>
        <v>4374.163820978423</v>
      </c>
      <c r="P18" s="101">
        <f t="shared" si="13"/>
        <v>4592.872012027346</v>
      </c>
      <c r="Q18" s="101">
        <f t="shared" si="13"/>
        <v>4822.515612628713</v>
      </c>
      <c r="R18" s="101">
        <f t="shared" si="13"/>
        <v>5063.641393260148</v>
      </c>
      <c r="S18" s="101">
        <f t="shared" si="13"/>
        <v>5316.823462923156</v>
      </c>
      <c r="T18" s="101">
        <f t="shared" si="13"/>
        <v>5582.664636069314</v>
      </c>
      <c r="U18" s="101">
        <f t="shared" si="13"/>
        <v>5861.7978678727795</v>
      </c>
      <c r="V18" s="101">
        <f t="shared" si="13"/>
        <v>6154.887761266419</v>
      </c>
      <c r="W18" s="101">
        <f t="shared" si="13"/>
        <v>6462.632149329739</v>
      </c>
      <c r="X18" s="101">
        <f t="shared" si="13"/>
        <v>6785.763756796228</v>
      </c>
      <c r="Y18" s="101">
        <f t="shared" si="13"/>
        <v>7125.0519446360395</v>
      </c>
      <c r="Z18" s="101">
        <f t="shared" si="13"/>
        <v>7481.30454186784</v>
      </c>
      <c r="AA18" s="101">
        <f t="shared" si="13"/>
        <v>7855.369768961233</v>
      </c>
      <c r="AB18" s="101">
        <f t="shared" si="13"/>
        <v>8248.138257409295</v>
      </c>
      <c r="AC18" s="101">
        <f t="shared" si="13"/>
        <v>8660.545170279762</v>
      </c>
      <c r="AD18" s="101">
        <f t="shared" si="13"/>
        <v>9093.572428793748</v>
      </c>
      <c r="AE18" s="57">
        <f>SUM(F18:AD18)</f>
        <v>134598.52725466865</v>
      </c>
      <c r="AF18" s="36" t="s">
        <v>0</v>
      </c>
      <c r="AG18" s="37"/>
    </row>
    <row r="19" spans="1:33" s="35" customFormat="1" ht="24" customHeight="1" thickBot="1" thickTop="1">
      <c r="A19" s="39" t="s">
        <v>101</v>
      </c>
      <c r="B19" s="34"/>
      <c r="D19" s="117"/>
      <c r="E19" s="69"/>
      <c r="F19" s="104">
        <f aca="true" t="shared" si="14" ref="F19:AD19">+F12-F18</f>
        <v>4950.61875</v>
      </c>
      <c r="G19" s="104">
        <f t="shared" si="14"/>
        <v>5150.643749999999</v>
      </c>
      <c r="H19" s="104">
        <f t="shared" si="14"/>
        <v>5408.1759375</v>
      </c>
      <c r="I19" s="104">
        <f t="shared" si="14"/>
        <v>5678.584734375001</v>
      </c>
      <c r="J19" s="104">
        <f t="shared" si="14"/>
        <v>5962.51397109375</v>
      </c>
      <c r="K19" s="104">
        <f t="shared" si="14"/>
        <v>6260.639669648439</v>
      </c>
      <c r="L19" s="104">
        <f t="shared" si="14"/>
        <v>6573.671653130861</v>
      </c>
      <c r="M19" s="104">
        <f t="shared" si="14"/>
        <v>6902.355235787404</v>
      </c>
      <c r="N19" s="104">
        <f t="shared" si="14"/>
        <v>7247.472997576775</v>
      </c>
      <c r="O19" s="104">
        <f t="shared" si="14"/>
        <v>7609.8466474556135</v>
      </c>
      <c r="P19" s="104">
        <f t="shared" si="14"/>
        <v>7990.338979828394</v>
      </c>
      <c r="Q19" s="104">
        <f t="shared" si="14"/>
        <v>8389.855928819816</v>
      </c>
      <c r="R19" s="104">
        <f t="shared" si="14"/>
        <v>8809.348725260805</v>
      </c>
      <c r="S19" s="104">
        <f t="shared" si="14"/>
        <v>9249.816161523846</v>
      </c>
      <c r="T19" s="104">
        <f t="shared" si="14"/>
        <v>9712.30696960004</v>
      </c>
      <c r="U19" s="104">
        <f t="shared" si="14"/>
        <v>10197.922318080042</v>
      </c>
      <c r="V19" s="104">
        <f t="shared" si="14"/>
        <v>10707.818433984045</v>
      </c>
      <c r="W19" s="104">
        <f t="shared" si="14"/>
        <v>11243.209355683244</v>
      </c>
      <c r="X19" s="104">
        <f t="shared" si="14"/>
        <v>11805.36982346741</v>
      </c>
      <c r="Y19" s="104">
        <f t="shared" si="14"/>
        <v>12395.63831464078</v>
      </c>
      <c r="Z19" s="104">
        <f t="shared" si="14"/>
        <v>13015.420230372816</v>
      </c>
      <c r="AA19" s="104">
        <f t="shared" si="14"/>
        <v>13666.19124189146</v>
      </c>
      <c r="AB19" s="104">
        <f t="shared" si="14"/>
        <v>14349.500803986035</v>
      </c>
      <c r="AC19" s="104">
        <f t="shared" si="14"/>
        <v>15066.975844185337</v>
      </c>
      <c r="AD19" s="104">
        <f t="shared" si="14"/>
        <v>15820.324636394605</v>
      </c>
      <c r="AE19" s="58">
        <f>SUM(F19:AD19)</f>
        <v>234164.56111428654</v>
      </c>
      <c r="AF19" s="36" t="s">
        <v>100</v>
      </c>
      <c r="AG19" s="37"/>
    </row>
    <row r="20" spans="1:30" ht="13.5" thickTop="1">
      <c r="A20" s="3" t="s">
        <v>47</v>
      </c>
      <c r="F20" s="82">
        <f>+F19</f>
        <v>4950.61875</v>
      </c>
      <c r="G20" s="83">
        <f aca="true" t="shared" si="15" ref="G20:AD20">+G19+F20</f>
        <v>10101.262499999999</v>
      </c>
      <c r="H20" s="83">
        <f t="shared" si="15"/>
        <v>15509.438437499999</v>
      </c>
      <c r="I20" s="83">
        <f t="shared" si="15"/>
        <v>21188.023171875</v>
      </c>
      <c r="J20" s="83">
        <f t="shared" si="15"/>
        <v>27150.53714296875</v>
      </c>
      <c r="K20" s="83">
        <f t="shared" si="15"/>
        <v>33411.17681261719</v>
      </c>
      <c r="L20" s="83">
        <f t="shared" si="15"/>
        <v>39984.84846574805</v>
      </c>
      <c r="M20" s="83">
        <f t="shared" si="15"/>
        <v>46887.20370153546</v>
      </c>
      <c r="N20" s="83">
        <f t="shared" si="15"/>
        <v>54134.676699112235</v>
      </c>
      <c r="O20" s="83">
        <f t="shared" si="15"/>
        <v>61744.52334656785</v>
      </c>
      <c r="P20" s="83">
        <f t="shared" si="15"/>
        <v>69734.86232639624</v>
      </c>
      <c r="Q20" s="83">
        <f t="shared" si="15"/>
        <v>78124.71825521605</v>
      </c>
      <c r="R20" s="83">
        <f t="shared" si="15"/>
        <v>86934.06698047685</v>
      </c>
      <c r="S20" s="83">
        <f t="shared" si="15"/>
        <v>96183.8831420007</v>
      </c>
      <c r="T20" s="83">
        <f t="shared" si="15"/>
        <v>105896.19011160075</v>
      </c>
      <c r="U20" s="83">
        <f t="shared" si="15"/>
        <v>116094.1124296808</v>
      </c>
      <c r="V20" s="83">
        <f t="shared" si="15"/>
        <v>126801.93086366483</v>
      </c>
      <c r="W20" s="83">
        <f t="shared" si="15"/>
        <v>138045.14021934808</v>
      </c>
      <c r="X20" s="83">
        <f t="shared" si="15"/>
        <v>149850.5100428155</v>
      </c>
      <c r="Y20" s="83">
        <f t="shared" si="15"/>
        <v>162246.1483574563</v>
      </c>
      <c r="Z20" s="83">
        <f t="shared" si="15"/>
        <v>175261.5685878291</v>
      </c>
      <c r="AA20" s="83">
        <f t="shared" si="15"/>
        <v>188927.75982972057</v>
      </c>
      <c r="AB20" s="83">
        <f t="shared" si="15"/>
        <v>203277.2606337066</v>
      </c>
      <c r="AC20" s="83">
        <f t="shared" si="15"/>
        <v>218344.23647789194</v>
      </c>
      <c r="AD20" s="83">
        <f t="shared" si="15"/>
        <v>234164.56111428654</v>
      </c>
    </row>
    <row r="21" spans="1:33" ht="12.75">
      <c r="A21" s="3"/>
      <c r="B21" s="124"/>
      <c r="C21" s="21"/>
      <c r="D21" s="114"/>
      <c r="E21" s="105"/>
      <c r="F21" s="143">
        <v>0.08</v>
      </c>
      <c r="G21" s="50"/>
      <c r="H21" s="51"/>
      <c r="I21" s="59"/>
      <c r="J21" s="70"/>
      <c r="K21" s="70"/>
      <c r="L21" s="70"/>
      <c r="M21" s="70"/>
      <c r="N21" s="70"/>
      <c r="O21" s="50"/>
      <c r="P21" s="71"/>
      <c r="Q21" s="71"/>
      <c r="R21" s="71"/>
      <c r="S21" s="71"/>
      <c r="T21" s="71"/>
      <c r="U21" s="71"/>
      <c r="V21" s="53"/>
      <c r="W21" s="53"/>
      <c r="X21" s="53"/>
      <c r="Y21" s="71"/>
      <c r="Z21" s="71"/>
      <c r="AA21" s="71"/>
      <c r="AB21" s="71"/>
      <c r="AC21" s="71"/>
      <c r="AD21" s="71">
        <f>SUM(AD19/66)</f>
        <v>239.7018884302213</v>
      </c>
      <c r="AE21" s="107">
        <f>SUM(AE19/66000)</f>
        <v>3.547947895671008</v>
      </c>
      <c r="AF21" s="108" t="s">
        <v>89</v>
      </c>
      <c r="AG21" s="15"/>
    </row>
    <row r="22" spans="5:32" ht="12.75">
      <c r="E22" s="20"/>
      <c r="F22" s="42"/>
      <c r="H22" s="89"/>
      <c r="J22" s="90"/>
      <c r="K22" s="90"/>
      <c r="L22" s="90"/>
      <c r="M22" s="91"/>
      <c r="N22" s="92"/>
      <c r="O22" s="92"/>
      <c r="P22" s="93"/>
      <c r="Q22" s="93"/>
      <c r="R22" s="93"/>
      <c r="S22" s="93"/>
      <c r="T22" s="93"/>
      <c r="U22" s="93"/>
      <c r="V22" s="72"/>
      <c r="W22" s="72"/>
      <c r="X22" s="72"/>
      <c r="Y22" s="72"/>
      <c r="Z22" s="72"/>
      <c r="AA22" s="72"/>
      <c r="AB22" s="72"/>
      <c r="AC22" s="72"/>
      <c r="AD22" s="72"/>
      <c r="AE22" s="125">
        <f>SUM(AE21/25)</f>
        <v>0.14191791582684032</v>
      </c>
      <c r="AF22" s="26" t="s">
        <v>95</v>
      </c>
    </row>
    <row r="23" spans="1:31" ht="12.75">
      <c r="A23" s="22"/>
      <c r="B23" s="1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21"/>
    </row>
    <row r="24" spans="1:31" ht="12.75">
      <c r="A24" s="43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21"/>
    </row>
    <row r="25" spans="3:8" ht="12.75">
      <c r="C25" s="44"/>
      <c r="E25" s="46"/>
      <c r="G25" s="15"/>
      <c r="H25" s="15"/>
    </row>
    <row r="26" spans="3:8" ht="12.75">
      <c r="C26" s="47"/>
      <c r="E26" s="46"/>
      <c r="G26" s="15"/>
      <c r="H26" s="15"/>
    </row>
    <row r="27" spans="3:8" ht="12.75">
      <c r="C27" s="44"/>
      <c r="E27" s="46"/>
      <c r="G27" s="15"/>
      <c r="H27" s="15"/>
    </row>
    <row r="28" spans="3:8" ht="12.75">
      <c r="C28" s="44"/>
      <c r="E28" s="46"/>
      <c r="G28" s="15"/>
      <c r="H28" s="15"/>
    </row>
    <row r="29" spans="3:8" ht="12.75">
      <c r="C29" s="44"/>
      <c r="E29" s="46"/>
      <c r="G29" s="15"/>
      <c r="H29" s="15"/>
    </row>
    <row r="30" spans="3:23" ht="12.75">
      <c r="C30" s="44"/>
      <c r="E30" s="46"/>
      <c r="F30" s="17"/>
      <c r="G30" s="15"/>
      <c r="H30" s="15"/>
      <c r="N30" s="17"/>
      <c r="W30" s="94"/>
    </row>
    <row r="31" spans="5:31" ht="12.75">
      <c r="E31" s="48"/>
      <c r="G31" s="15"/>
      <c r="H31" s="15"/>
      <c r="W31" s="94"/>
      <c r="X31" s="94"/>
      <c r="Y31" s="94"/>
      <c r="Z31" s="94"/>
      <c r="AA31" s="94"/>
      <c r="AB31" s="94"/>
      <c r="AC31" s="94"/>
      <c r="AD31" s="94"/>
      <c r="AE31" s="2"/>
    </row>
    <row r="32" spans="3:31" ht="12.75">
      <c r="C32" s="44"/>
      <c r="E32" s="49"/>
      <c r="F32" s="19"/>
      <c r="G32" s="15"/>
      <c r="H32" s="15"/>
      <c r="X32" s="94"/>
      <c r="Y32" s="94"/>
      <c r="Z32" s="94"/>
      <c r="AA32" s="94"/>
      <c r="AB32" s="94"/>
      <c r="AC32" s="94"/>
      <c r="AD32" s="94"/>
      <c r="AE32" s="2"/>
    </row>
    <row r="33" spans="5:8" ht="12.75">
      <c r="E33" s="1"/>
      <c r="F33" s="18"/>
      <c r="G33" s="95"/>
      <c r="H33" s="95"/>
    </row>
    <row r="34" spans="5:17" ht="12.75">
      <c r="E34" s="1"/>
      <c r="F34" s="18"/>
      <c r="G34" s="95"/>
      <c r="H34" s="95"/>
      <c r="I34" s="18"/>
      <c r="P34" s="18"/>
      <c r="Q34" s="18"/>
    </row>
    <row r="35" spans="2:9" ht="12.75">
      <c r="B35" s="3" t="s">
        <v>1</v>
      </c>
      <c r="E35" s="4" t="s">
        <v>1</v>
      </c>
      <c r="F35" s="26" t="s">
        <v>1</v>
      </c>
      <c r="I35" s="18"/>
    </row>
    <row r="36" spans="2:17" ht="12.75">
      <c r="B36" s="3" t="s">
        <v>1</v>
      </c>
      <c r="C36" s="3" t="s">
        <v>1</v>
      </c>
      <c r="E36" s="4" t="s">
        <v>1</v>
      </c>
      <c r="F36" s="18"/>
      <c r="G36" s="95"/>
      <c r="H36" s="95"/>
      <c r="I36" s="18"/>
      <c r="J36" s="18"/>
      <c r="K36" s="18"/>
      <c r="L36" s="18"/>
      <c r="M36" s="18"/>
      <c r="N36" s="18"/>
      <c r="O36" s="18"/>
      <c r="P36" s="18"/>
      <c r="Q36" s="18"/>
    </row>
    <row r="37" spans="5:17" ht="12.75">
      <c r="E37" s="1"/>
      <c r="F37" s="18"/>
      <c r="G37" s="95"/>
      <c r="H37" s="95"/>
      <c r="I37" s="18"/>
      <c r="J37" s="18"/>
      <c r="K37" s="18"/>
      <c r="L37" s="18"/>
      <c r="M37" s="18"/>
      <c r="N37" s="18"/>
      <c r="O37" s="18"/>
      <c r="P37" s="18"/>
      <c r="Q37" s="18"/>
    </row>
    <row r="39" spans="6:13" ht="12.75">
      <c r="F39"/>
      <c r="G39"/>
      <c r="H39"/>
      <c r="I39"/>
      <c r="J39"/>
      <c r="K39"/>
      <c r="L39"/>
      <c r="M39"/>
    </row>
    <row r="40" spans="6:38" ht="12.75">
      <c r="F40"/>
      <c r="G40"/>
      <c r="H40"/>
      <c r="I40"/>
      <c r="J40"/>
      <c r="K40"/>
      <c r="L40"/>
      <c r="M40"/>
      <c r="AJ40" s="2"/>
      <c r="AK40" s="2"/>
      <c r="AL40" s="2"/>
    </row>
    <row r="41" spans="6:38" ht="12.75">
      <c r="F41"/>
      <c r="G41"/>
      <c r="H41"/>
      <c r="I41"/>
      <c r="J41"/>
      <c r="K41"/>
      <c r="L41"/>
      <c r="M41"/>
      <c r="AJ41" s="1"/>
      <c r="AK41" s="1"/>
      <c r="AL41" s="1"/>
    </row>
    <row r="42" spans="6:38" ht="12.75">
      <c r="F42"/>
      <c r="G42"/>
      <c r="H42"/>
      <c r="I42"/>
      <c r="J42"/>
      <c r="K42"/>
      <c r="L42"/>
      <c r="M42"/>
      <c r="AJ42" s="1"/>
      <c r="AK42" s="1"/>
      <c r="AL42" s="1"/>
    </row>
    <row r="43" spans="6:13" ht="12.75">
      <c r="F43"/>
      <c r="G43"/>
      <c r="H43"/>
      <c r="I43"/>
      <c r="J43"/>
      <c r="K43"/>
      <c r="L43"/>
      <c r="M43"/>
    </row>
    <row r="44" spans="6:13" ht="12.75">
      <c r="F44"/>
      <c r="G44"/>
      <c r="H44"/>
      <c r="I44"/>
      <c r="J44"/>
      <c r="K44"/>
      <c r="L44"/>
      <c r="M44"/>
    </row>
    <row r="45" spans="6:13" ht="12.75">
      <c r="F45"/>
      <c r="G45"/>
      <c r="H45"/>
      <c r="I45"/>
      <c r="J45"/>
      <c r="K45"/>
      <c r="L45"/>
      <c r="M45"/>
    </row>
    <row r="46" spans="6:13" ht="12.75">
      <c r="F46"/>
      <c r="G46"/>
      <c r="H46"/>
      <c r="I46"/>
      <c r="J46"/>
      <c r="K46"/>
      <c r="L46"/>
      <c r="M46"/>
    </row>
    <row r="47" spans="6:13" ht="12.75">
      <c r="F47"/>
      <c r="G47"/>
      <c r="H47"/>
      <c r="I47"/>
      <c r="J47"/>
      <c r="K47"/>
      <c r="L47"/>
      <c r="M47"/>
    </row>
    <row r="48" spans="6:13" ht="12.75">
      <c r="F48"/>
      <c r="G48"/>
      <c r="H48"/>
      <c r="I48"/>
      <c r="J48"/>
      <c r="K48"/>
      <c r="L48"/>
      <c r="M48"/>
    </row>
    <row r="49" spans="6:13" ht="12.75">
      <c r="F49"/>
      <c r="G49"/>
      <c r="H49"/>
      <c r="I49"/>
      <c r="J49"/>
      <c r="K49"/>
      <c r="L49"/>
      <c r="M49"/>
    </row>
    <row r="50" spans="6:32" ht="12.75">
      <c r="F50"/>
      <c r="G50"/>
      <c r="H50"/>
      <c r="I50"/>
      <c r="J50"/>
      <c r="K50"/>
      <c r="L50"/>
      <c r="M50"/>
      <c r="AF50" s="2"/>
    </row>
    <row r="51" spans="6:32" ht="12.75">
      <c r="F51"/>
      <c r="G51"/>
      <c r="H51"/>
      <c r="I51"/>
      <c r="J51"/>
      <c r="K51"/>
      <c r="L51"/>
      <c r="M51"/>
      <c r="Y51" s="94"/>
      <c r="Z51" s="94"/>
      <c r="AA51" s="94"/>
      <c r="AB51" s="94"/>
      <c r="AC51" s="94"/>
      <c r="AD51" s="94"/>
      <c r="AE51" s="2"/>
      <c r="AF51" s="1"/>
    </row>
    <row r="52" spans="6:32" ht="12.75">
      <c r="F52"/>
      <c r="G52"/>
      <c r="H52"/>
      <c r="I52"/>
      <c r="J52"/>
      <c r="K52"/>
      <c r="L52"/>
      <c r="M52"/>
      <c r="N52" s="28"/>
      <c r="O52" s="28"/>
      <c r="Q52" s="29"/>
      <c r="R52" s="27" t="s">
        <v>1</v>
      </c>
      <c r="Y52" s="18"/>
      <c r="Z52" s="18"/>
      <c r="AA52" s="18"/>
      <c r="AB52" s="18"/>
      <c r="AC52" s="18"/>
      <c r="AD52" s="18"/>
      <c r="AE52" s="1"/>
      <c r="AF52" s="1"/>
    </row>
    <row r="53" spans="6:32" ht="12.75">
      <c r="F53"/>
      <c r="G53"/>
      <c r="H53"/>
      <c r="I53"/>
      <c r="J53"/>
      <c r="K53"/>
      <c r="L53"/>
      <c r="M53"/>
      <c r="N53" s="28"/>
      <c r="O53" s="28"/>
      <c r="Q53" s="28"/>
      <c r="Y53" s="18"/>
      <c r="Z53" s="18"/>
      <c r="AA53" s="18"/>
      <c r="AB53" s="18"/>
      <c r="AC53" s="18"/>
      <c r="AD53" s="18"/>
      <c r="AE53" s="1"/>
      <c r="AF53" s="1"/>
    </row>
    <row r="54" spans="6:32" ht="12.75">
      <c r="F54"/>
      <c r="G54"/>
      <c r="H54"/>
      <c r="I54"/>
      <c r="J54"/>
      <c r="K54"/>
      <c r="L54"/>
      <c r="M54"/>
      <c r="N54" s="28"/>
      <c r="O54" s="28"/>
      <c r="R54" s="96" t="s">
        <v>1</v>
      </c>
      <c r="S54" s="97" t="s">
        <v>1</v>
      </c>
      <c r="Y54" s="18"/>
      <c r="Z54" s="18"/>
      <c r="AA54" s="18"/>
      <c r="AB54" s="18"/>
      <c r="AC54" s="18"/>
      <c r="AD54" s="18"/>
      <c r="AE54" s="1"/>
      <c r="AF54" s="1"/>
    </row>
    <row r="55" spans="6:33" ht="12.75">
      <c r="F55"/>
      <c r="G55"/>
      <c r="H55"/>
      <c r="I55"/>
      <c r="J55"/>
      <c r="K55"/>
      <c r="L55"/>
      <c r="M55"/>
      <c r="N55" s="28"/>
      <c r="O55" s="28"/>
      <c r="R55" s="96" t="s">
        <v>1</v>
      </c>
      <c r="Y55" s="18"/>
      <c r="Z55" s="18"/>
      <c r="AA55" s="18"/>
      <c r="AB55" s="18"/>
      <c r="AC55" s="18"/>
      <c r="AD55" s="18"/>
      <c r="AE55" s="1"/>
      <c r="AF55" s="1"/>
      <c r="AG55" s="2"/>
    </row>
    <row r="56" spans="6:34" ht="12.75">
      <c r="F56"/>
      <c r="G56"/>
      <c r="H56"/>
      <c r="I56"/>
      <c r="J56"/>
      <c r="K56"/>
      <c r="L56"/>
      <c r="M56"/>
      <c r="N56" s="28"/>
      <c r="O56" s="28"/>
      <c r="R56" s="96" t="s">
        <v>1</v>
      </c>
      <c r="Y56" s="18"/>
      <c r="Z56" s="18"/>
      <c r="AA56" s="18"/>
      <c r="AB56" s="18"/>
      <c r="AC56" s="18"/>
      <c r="AD56" s="18"/>
      <c r="AE56" s="1"/>
      <c r="AF56" s="1"/>
      <c r="AG56" s="1"/>
      <c r="AH56" s="2"/>
    </row>
    <row r="57" spans="6:34" ht="12.75">
      <c r="F57"/>
      <c r="G57"/>
      <c r="H57"/>
      <c r="I57"/>
      <c r="J57"/>
      <c r="K57"/>
      <c r="L57"/>
      <c r="M57"/>
      <c r="N57" s="28"/>
      <c r="O57" s="28"/>
      <c r="R57" s="28"/>
      <c r="Y57" s="18"/>
      <c r="Z57" s="18"/>
      <c r="AA57" s="18"/>
      <c r="AB57" s="18"/>
      <c r="AC57" s="18"/>
      <c r="AD57" s="18"/>
      <c r="AE57" s="1"/>
      <c r="AF57" s="1"/>
      <c r="AG57" s="1"/>
      <c r="AH57" s="1"/>
    </row>
    <row r="58" spans="6:34" ht="12.75">
      <c r="F58"/>
      <c r="G58"/>
      <c r="H58"/>
      <c r="I58"/>
      <c r="J58"/>
      <c r="K58"/>
      <c r="L58"/>
      <c r="M58"/>
      <c r="N58" s="28"/>
      <c r="O58" s="28"/>
      <c r="R58" s="28"/>
      <c r="Y58" s="18"/>
      <c r="Z58" s="18"/>
      <c r="AA58" s="18"/>
      <c r="AB58" s="18"/>
      <c r="AC58" s="18"/>
      <c r="AD58" s="18"/>
      <c r="AE58" s="1"/>
      <c r="AF58" s="1"/>
      <c r="AG58" s="1"/>
      <c r="AH58" s="1"/>
    </row>
    <row r="59" spans="6:34" ht="12.75">
      <c r="F59"/>
      <c r="G59"/>
      <c r="H59"/>
      <c r="I59"/>
      <c r="J59"/>
      <c r="K59"/>
      <c r="L59"/>
      <c r="M59"/>
      <c r="N59" s="28"/>
      <c r="O59" s="28"/>
      <c r="R59" s="28"/>
      <c r="Y59" s="18"/>
      <c r="Z59" s="18"/>
      <c r="AA59" s="18"/>
      <c r="AB59" s="18"/>
      <c r="AC59" s="18"/>
      <c r="AD59" s="18"/>
      <c r="AE59" s="1"/>
      <c r="AG59" s="1"/>
      <c r="AH59" s="1"/>
    </row>
    <row r="60" spans="6:34" ht="12.75">
      <c r="F60"/>
      <c r="G60"/>
      <c r="H60"/>
      <c r="I60"/>
      <c r="J60"/>
      <c r="K60"/>
      <c r="L60"/>
      <c r="M60"/>
      <c r="N60" s="28"/>
      <c r="O60" s="28"/>
      <c r="R60" s="28"/>
      <c r="AG60" s="1"/>
      <c r="AH60" s="1"/>
    </row>
    <row r="61" spans="6:34" ht="12.75">
      <c r="F61"/>
      <c r="G61"/>
      <c r="H61"/>
      <c r="I61"/>
      <c r="J61"/>
      <c r="K61"/>
      <c r="L61"/>
      <c r="M61"/>
      <c r="N61" s="28"/>
      <c r="O61" s="28"/>
      <c r="R61" s="28"/>
      <c r="AG61" s="1"/>
      <c r="AH61" s="1"/>
    </row>
    <row r="62" spans="6:34" ht="12.75">
      <c r="F62"/>
      <c r="G62"/>
      <c r="H62"/>
      <c r="I62"/>
      <c r="J62"/>
      <c r="K62"/>
      <c r="L62"/>
      <c r="M62"/>
      <c r="N62" s="28"/>
      <c r="O62" s="28"/>
      <c r="R62" s="28"/>
      <c r="AG62" s="1"/>
      <c r="AH62" s="1"/>
    </row>
    <row r="63" spans="6:34" ht="12.75">
      <c r="F63"/>
      <c r="G63"/>
      <c r="H63"/>
      <c r="I63"/>
      <c r="J63"/>
      <c r="K63"/>
      <c r="L63"/>
      <c r="M63"/>
      <c r="N63" s="28"/>
      <c r="O63" s="28"/>
      <c r="R63" s="28"/>
      <c r="AG63" s="1"/>
      <c r="AH63" s="1"/>
    </row>
    <row r="64" spans="6:34" ht="12.75">
      <c r="F64"/>
      <c r="G64"/>
      <c r="H64"/>
      <c r="I64"/>
      <c r="J64"/>
      <c r="K64"/>
      <c r="L64"/>
      <c r="M64"/>
      <c r="N64" s="28"/>
      <c r="O64" s="28"/>
      <c r="R64" s="28"/>
      <c r="AH64" s="1"/>
    </row>
    <row r="65" spans="6:18" ht="12.75">
      <c r="F65"/>
      <c r="G65"/>
      <c r="H65"/>
      <c r="I65"/>
      <c r="J65"/>
      <c r="K65"/>
      <c r="L65"/>
      <c r="M65"/>
      <c r="N65" s="28"/>
      <c r="O65" s="28"/>
      <c r="R65" s="28"/>
    </row>
    <row r="66" spans="6:18" ht="12.75">
      <c r="F66"/>
      <c r="G66"/>
      <c r="H66"/>
      <c r="I66"/>
      <c r="J66"/>
      <c r="K66"/>
      <c r="L66"/>
      <c r="M66"/>
      <c r="N66" s="28"/>
      <c r="O66" s="28"/>
      <c r="R66" s="28"/>
    </row>
    <row r="67" spans="2:18" ht="12.75">
      <c r="B67" s="4" t="s">
        <v>1</v>
      </c>
      <c r="C67" s="5"/>
      <c r="N67" s="28"/>
      <c r="O67" s="28"/>
      <c r="R67" s="28"/>
    </row>
    <row r="68" spans="2:18" ht="12.75">
      <c r="B68" s="3" t="s">
        <v>1</v>
      </c>
      <c r="C68" s="5"/>
      <c r="N68" s="28"/>
      <c r="O68" s="28"/>
      <c r="R68" s="28"/>
    </row>
    <row r="69" spans="14:18" ht="12.75">
      <c r="N69" s="28"/>
      <c r="O69" s="28"/>
      <c r="Q69" s="28"/>
      <c r="R69" s="28"/>
    </row>
    <row r="70" spans="2:3" ht="12.75">
      <c r="B70" s="3" t="s">
        <v>1</v>
      </c>
      <c r="C70" s="5"/>
    </row>
  </sheetData>
  <mergeCells count="3">
    <mergeCell ref="AF3:AG3"/>
    <mergeCell ref="A11:E11"/>
    <mergeCell ref="A15:E15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E31"/>
  <sheetViews>
    <sheetView workbookViewId="0" topLeftCell="A1">
      <selection activeCell="C21" sqref="C21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10.8515625" style="0" bestFit="1" customWidth="1"/>
    <col min="4" max="4" width="14.421875" style="46" customWidth="1"/>
    <col min="5" max="5" width="8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28125" style="0" customWidth="1"/>
    <col min="10" max="10" width="8.140625" style="0" customWidth="1"/>
  </cols>
  <sheetData>
    <row r="4" spans="2:3" ht="12.75">
      <c r="B4" s="130" t="s">
        <v>2</v>
      </c>
      <c r="C4" s="136" t="s">
        <v>3</v>
      </c>
    </row>
    <row r="5" spans="2:3" ht="12.75">
      <c r="B5" s="131" t="s">
        <v>43</v>
      </c>
      <c r="C5" s="16"/>
    </row>
    <row r="6" spans="2:3" ht="12.75">
      <c r="B6" s="132" t="s">
        <v>4</v>
      </c>
      <c r="C6" s="8">
        <v>5.5</v>
      </c>
    </row>
    <row r="7" spans="2:3" ht="12.75">
      <c r="B7" s="132" t="s">
        <v>54</v>
      </c>
      <c r="C7" s="9">
        <v>25000</v>
      </c>
    </row>
    <row r="8" spans="2:3" ht="12.75">
      <c r="B8" s="132" t="s">
        <v>41</v>
      </c>
      <c r="C8" s="78">
        <v>70</v>
      </c>
    </row>
    <row r="9" spans="2:4" ht="12.75">
      <c r="B9" s="137" t="s">
        <v>134</v>
      </c>
      <c r="C9" s="139">
        <v>2080</v>
      </c>
      <c r="D9" s="109"/>
    </row>
    <row r="10" spans="1:4" ht="12.75">
      <c r="A10" s="22"/>
      <c r="B10" s="133" t="s">
        <v>135</v>
      </c>
      <c r="C10" s="138">
        <v>10560</v>
      </c>
      <c r="D10" s="112"/>
    </row>
    <row r="11" spans="2:3" ht="12.75">
      <c r="B11" s="132"/>
      <c r="C11" s="10"/>
    </row>
    <row r="12" spans="2:3" ht="12.75">
      <c r="B12" s="132" t="s">
        <v>56</v>
      </c>
      <c r="C12" s="12">
        <v>66</v>
      </c>
    </row>
    <row r="13" spans="2:3" ht="12.75">
      <c r="B13" s="132" t="s">
        <v>57</v>
      </c>
      <c r="C13" s="12">
        <v>3</v>
      </c>
    </row>
    <row r="14" spans="2:3" ht="12.75">
      <c r="B14" s="132"/>
      <c r="C14" s="13"/>
    </row>
    <row r="15" spans="2:3" ht="12.75">
      <c r="B15" s="132" t="s">
        <v>130</v>
      </c>
      <c r="C15" s="11">
        <v>2</v>
      </c>
    </row>
    <row r="16" spans="2:3" ht="12.75">
      <c r="B16" s="132" t="s">
        <v>131</v>
      </c>
      <c r="C16" s="77">
        <v>1</v>
      </c>
    </row>
    <row r="17" spans="2:3" ht="12.75">
      <c r="B17" s="132" t="s">
        <v>42</v>
      </c>
      <c r="C17" s="10">
        <v>0.25</v>
      </c>
    </row>
    <row r="18" spans="2:3" ht="12.75">
      <c r="B18" s="134" t="s">
        <v>40</v>
      </c>
      <c r="C18" s="13">
        <v>0.04</v>
      </c>
    </row>
    <row r="19" spans="2:5" ht="12.75">
      <c r="B19" s="131"/>
      <c r="C19" s="14"/>
      <c r="D19" s="113"/>
      <c r="E19" s="3"/>
    </row>
    <row r="20" spans="2:3" ht="12.75">
      <c r="B20" s="135" t="s">
        <v>44</v>
      </c>
      <c r="C20" s="33">
        <v>0.055</v>
      </c>
    </row>
    <row r="21" spans="2:3" ht="12.75">
      <c r="B21" s="135" t="s">
        <v>55</v>
      </c>
      <c r="C21" s="44"/>
    </row>
    <row r="22" spans="2:3" ht="12.75">
      <c r="B22" s="135" t="s">
        <v>45</v>
      </c>
      <c r="C22">
        <v>25</v>
      </c>
    </row>
    <row r="23" spans="2:3" ht="12.75">
      <c r="B23" s="135" t="s">
        <v>46</v>
      </c>
      <c r="C23">
        <v>0</v>
      </c>
    </row>
    <row r="24" spans="2:4" ht="12.75">
      <c r="B24" s="128" t="s">
        <v>48</v>
      </c>
      <c r="C24" s="126"/>
      <c r="D24" s="127"/>
    </row>
    <row r="25" spans="2:4" ht="12.75">
      <c r="B25" s="126" t="s">
        <v>132</v>
      </c>
      <c r="C25" s="129">
        <v>0.75</v>
      </c>
      <c r="D25" s="127" t="s">
        <v>49</v>
      </c>
    </row>
    <row r="26" spans="2:4" ht="12.75">
      <c r="B26" s="126" t="s">
        <v>50</v>
      </c>
      <c r="C26" s="129">
        <v>0.75</v>
      </c>
      <c r="D26" s="127" t="s">
        <v>49</v>
      </c>
    </row>
    <row r="27" spans="2:4" ht="12.75">
      <c r="B27" s="126" t="s">
        <v>133</v>
      </c>
      <c r="C27" s="129">
        <v>2</v>
      </c>
      <c r="D27" s="127" t="s">
        <v>51</v>
      </c>
    </row>
    <row r="28" spans="2:4" ht="12.75">
      <c r="B28" s="126" t="s">
        <v>13</v>
      </c>
      <c r="C28" s="129">
        <v>2</v>
      </c>
      <c r="D28" s="127" t="s">
        <v>51</v>
      </c>
    </row>
    <row r="29" spans="2:4" ht="12.75">
      <c r="B29" s="126" t="s">
        <v>11</v>
      </c>
      <c r="C29" s="126"/>
      <c r="D29" s="127" t="s">
        <v>52</v>
      </c>
    </row>
    <row r="31" ht="12.75">
      <c r="B31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A1">
      <selection activeCell="B4" sqref="B4"/>
    </sheetView>
  </sheetViews>
  <sheetFormatPr defaultColWidth="9.140625" defaultRowHeight="12.75"/>
  <cols>
    <col min="5" max="5" width="9.8515625" style="44" bestFit="1" customWidth="1"/>
    <col min="6" max="6" width="16.7109375" style="0" customWidth="1"/>
  </cols>
  <sheetData>
    <row r="1" spans="2:5" ht="19.5">
      <c r="B1" s="148" t="s">
        <v>137</v>
      </c>
      <c r="C1" s="146"/>
      <c r="D1" s="146"/>
      <c r="E1" s="146"/>
    </row>
    <row r="2" spans="2:5" ht="13.5" customHeight="1">
      <c r="B2" s="121"/>
      <c r="C2" s="120"/>
      <c r="D2" s="120"/>
      <c r="E2" s="123"/>
    </row>
    <row r="3" spans="2:5" ht="12.75" customHeight="1">
      <c r="B3" s="122" t="s">
        <v>140</v>
      </c>
      <c r="C3" s="120"/>
      <c r="D3" s="120"/>
      <c r="E3" s="123"/>
    </row>
    <row r="5" spans="2:5" ht="12.75">
      <c r="B5" t="s">
        <v>71</v>
      </c>
      <c r="E5" s="44">
        <v>66000000</v>
      </c>
    </row>
    <row r="6" spans="2:6" ht="12.75">
      <c r="B6" t="s">
        <v>72</v>
      </c>
      <c r="E6" s="44">
        <v>5000000</v>
      </c>
      <c r="F6" s="15" t="s">
        <v>136</v>
      </c>
    </row>
    <row r="7" spans="2:5" ht="12.75">
      <c r="B7" t="s">
        <v>75</v>
      </c>
      <c r="E7" s="44">
        <v>61000000</v>
      </c>
    </row>
    <row r="8" spans="2:5" ht="12.75">
      <c r="B8" t="s">
        <v>73</v>
      </c>
      <c r="E8" s="44">
        <v>70</v>
      </c>
    </row>
    <row r="9" spans="2:5" ht="12.75">
      <c r="B9" t="s">
        <v>78</v>
      </c>
      <c r="E9" s="44">
        <v>68000</v>
      </c>
    </row>
    <row r="10" spans="2:5" ht="12.75">
      <c r="B10" t="s">
        <v>77</v>
      </c>
      <c r="E10" s="44">
        <v>10000</v>
      </c>
    </row>
    <row r="11" spans="2:6" ht="12.75">
      <c r="B11" t="s">
        <v>81</v>
      </c>
      <c r="E11" s="44">
        <v>58000</v>
      </c>
      <c r="F11" t="s">
        <v>74</v>
      </c>
    </row>
    <row r="12" spans="2:6" ht="12.75">
      <c r="B12" t="s">
        <v>76</v>
      </c>
      <c r="E12" s="44">
        <v>640</v>
      </c>
      <c r="F12" t="s">
        <v>80</v>
      </c>
    </row>
    <row r="13" spans="2:6" ht="12.75">
      <c r="B13" t="s">
        <v>79</v>
      </c>
      <c r="E13" s="44">
        <v>0</v>
      </c>
      <c r="F13" t="s">
        <v>80</v>
      </c>
    </row>
    <row r="14" spans="2:6" ht="12.75">
      <c r="B14" t="s">
        <v>82</v>
      </c>
      <c r="E14" s="44">
        <v>566</v>
      </c>
      <c r="F14" t="s">
        <v>80</v>
      </c>
    </row>
    <row r="16" ht="12.75">
      <c r="B16" t="s">
        <v>138</v>
      </c>
    </row>
    <row r="17" ht="12.75">
      <c r="B17" t="s">
        <v>139</v>
      </c>
    </row>
    <row r="18" ht="12.75">
      <c r="B18" t="s">
        <v>83</v>
      </c>
    </row>
    <row r="19" ht="12.75">
      <c r="B19" t="s">
        <v>84</v>
      </c>
    </row>
  </sheetData>
  <mergeCells count="1">
    <mergeCell ref="B1:E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5" sqref="E5"/>
    </sheetView>
  </sheetViews>
  <sheetFormatPr defaultColWidth="9.140625" defaultRowHeight="12.75"/>
  <cols>
    <col min="3" max="3" width="25.28125" style="0" customWidth="1"/>
    <col min="4" max="4" width="19.00390625" style="46" customWidth="1"/>
  </cols>
  <sheetData>
    <row r="1" spans="2:7" ht="17.25" customHeight="1">
      <c r="B1" s="150" t="s">
        <v>126</v>
      </c>
      <c r="C1" s="150"/>
      <c r="D1" s="150"/>
      <c r="E1" s="150"/>
      <c r="F1" s="150"/>
      <c r="G1" s="150"/>
    </row>
    <row r="2" spans="2:7" ht="12.75">
      <c r="B2" s="7"/>
      <c r="F2" s="62"/>
      <c r="G2" s="98"/>
    </row>
    <row r="3" spans="2:7" ht="12.75">
      <c r="B3" s="3">
        <v>25000</v>
      </c>
      <c r="C3" t="s">
        <v>104</v>
      </c>
      <c r="D3" s="110" t="s">
        <v>127</v>
      </c>
      <c r="E3" t="s">
        <v>128</v>
      </c>
      <c r="F3" s="62"/>
      <c r="G3" s="85"/>
    </row>
    <row r="4" spans="2:7" ht="12.75">
      <c r="B4" s="99"/>
      <c r="D4" s="110" t="s">
        <v>105</v>
      </c>
      <c r="E4" s="15" t="s">
        <v>129</v>
      </c>
      <c r="F4" s="42"/>
      <c r="G4" s="85"/>
    </row>
    <row r="5" spans="2:7" ht="12.75">
      <c r="B5" t="s">
        <v>106</v>
      </c>
      <c r="D5" s="110" t="s">
        <v>113</v>
      </c>
      <c r="F5" s="62"/>
      <c r="G5" s="86"/>
    </row>
    <row r="6" spans="2:7" ht="12.75">
      <c r="B6" t="s">
        <v>111</v>
      </c>
      <c r="D6" s="110" t="s">
        <v>112</v>
      </c>
      <c r="E6" s="15"/>
      <c r="F6" s="63"/>
      <c r="G6" s="85"/>
    </row>
    <row r="7" spans="2:7" ht="12.75">
      <c r="B7" t="s">
        <v>124</v>
      </c>
      <c r="D7" s="110" t="s">
        <v>125</v>
      </c>
      <c r="E7" s="15"/>
      <c r="F7" s="63"/>
      <c r="G7" s="85"/>
    </row>
    <row r="8" spans="4:7" ht="12.75">
      <c r="D8" s="110"/>
      <c r="E8" s="15"/>
      <c r="F8" s="63"/>
      <c r="G8" s="85"/>
    </row>
    <row r="9" spans="2:7" ht="12.75">
      <c r="B9" s="22" t="s">
        <v>118</v>
      </c>
      <c r="D9" s="110"/>
      <c r="G9" s="87"/>
    </row>
    <row r="10" spans="2:7" ht="12.75">
      <c r="B10" t="s">
        <v>107</v>
      </c>
      <c r="D10" s="149" t="s">
        <v>108</v>
      </c>
      <c r="E10" s="146"/>
      <c r="F10" s="146"/>
      <c r="G10" s="85"/>
    </row>
    <row r="11" spans="2:7" ht="12.75">
      <c r="B11" t="s">
        <v>109</v>
      </c>
      <c r="D11" s="111" t="s">
        <v>122</v>
      </c>
      <c r="E11" s="3"/>
      <c r="F11" s="65"/>
      <c r="G11" s="85"/>
    </row>
    <row r="12" spans="1:7" ht="12.75">
      <c r="A12" s="22"/>
      <c r="B12" t="s">
        <v>114</v>
      </c>
      <c r="D12" s="46" t="s">
        <v>115</v>
      </c>
      <c r="E12" s="3"/>
      <c r="F12" s="65"/>
      <c r="G12" s="85"/>
    </row>
    <row r="13" spans="2:7" ht="12.75">
      <c r="B13" t="s">
        <v>110</v>
      </c>
      <c r="D13" s="46" t="s">
        <v>123</v>
      </c>
      <c r="E13" s="3"/>
      <c r="F13" s="64"/>
      <c r="G13" s="85"/>
    </row>
    <row r="14" spans="2:7" ht="12.75">
      <c r="B14" t="s">
        <v>116</v>
      </c>
      <c r="D14" s="46" t="s">
        <v>117</v>
      </c>
      <c r="E14" s="3"/>
      <c r="F14" s="64"/>
      <c r="G14" s="85"/>
    </row>
    <row r="15" spans="5:7" ht="12.75">
      <c r="E15" s="3"/>
      <c r="F15" s="64"/>
      <c r="G15" s="85"/>
    </row>
    <row r="16" ht="12.75">
      <c r="B16" s="22" t="s">
        <v>119</v>
      </c>
    </row>
    <row r="17" spans="2:4" ht="12.75">
      <c r="B17" t="s">
        <v>121</v>
      </c>
      <c r="D17" s="46" t="s">
        <v>120</v>
      </c>
    </row>
    <row r="20" ht="12.75">
      <c r="D20" s="44"/>
    </row>
  </sheetData>
  <mergeCells count="2">
    <mergeCell ref="D10:F10"/>
    <mergeCell ref="B1:G1"/>
  </mergeCells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3" sqref="D13"/>
    </sheetView>
  </sheetViews>
  <sheetFormatPr defaultColWidth="9.140625" defaultRowHeight="12.75"/>
  <cols>
    <col min="4" max="4" width="14.421875" style="46" customWidth="1"/>
  </cols>
  <sheetData>
    <row r="1" ht="23.25" customHeight="1">
      <c r="A1" s="106" t="s">
        <v>61</v>
      </c>
    </row>
    <row r="2" ht="12" customHeight="1"/>
    <row r="3" spans="1:4" ht="12.75">
      <c r="A3" t="s">
        <v>64</v>
      </c>
      <c r="D3" s="46">
        <v>10000000</v>
      </c>
    </row>
    <row r="4" spans="1:4" ht="12.75">
      <c r="A4" t="s">
        <v>63</v>
      </c>
      <c r="D4" s="46">
        <v>5000000</v>
      </c>
    </row>
    <row r="5" spans="1:4" ht="12.75">
      <c r="A5" t="s">
        <v>62</v>
      </c>
      <c r="D5" s="46">
        <v>58000000</v>
      </c>
    </row>
    <row r="6" spans="1:4" ht="12.75">
      <c r="A6" t="s">
        <v>65</v>
      </c>
      <c r="D6" s="46">
        <v>10000000</v>
      </c>
    </row>
    <row r="7" spans="1:4" ht="12.75">
      <c r="A7" t="s">
        <v>66</v>
      </c>
      <c r="D7" s="46">
        <v>5000000</v>
      </c>
    </row>
    <row r="8" spans="1:4" ht="12.75">
      <c r="A8" t="s">
        <v>67</v>
      </c>
      <c r="D8" s="46">
        <v>6000000</v>
      </c>
    </row>
    <row r="9" spans="1:4" ht="12.75">
      <c r="A9" t="s">
        <v>69</v>
      </c>
      <c r="D9" s="109">
        <f>SUM(D3:D8)*0.1</f>
        <v>9400000</v>
      </c>
    </row>
    <row r="10" spans="1:4" ht="12.75">
      <c r="A10" s="22" t="s">
        <v>68</v>
      </c>
      <c r="D10" s="75">
        <f>SUM(D3:D9)</f>
        <v>103400000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2002-03-10T21:18:19Z</cp:lastPrinted>
  <dcterms:created xsi:type="dcterms:W3CDTF">1999-06-13T22:59:13Z</dcterms:created>
  <dcterms:modified xsi:type="dcterms:W3CDTF">2005-11-19T22:19:45Z</dcterms:modified>
  <cp:category/>
  <cp:version/>
  <cp:contentType/>
  <cp:contentStatus/>
</cp:coreProperties>
</file>